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MyFiles\New Registrar\Bookstore Online\BOOKLISTS FOR WEB\JA SP 2021\"/>
    </mc:Choice>
  </mc:AlternateContent>
  <xr:revisionPtr revIDLastSave="0" documentId="13_ncr:1_{645B2716-7EA1-4553-B1D5-AAB30434FAA7}" xr6:coauthVersionLast="36" xr6:coauthVersionMax="45" xr10:uidLastSave="{00000000-0000-0000-0000-000000000000}"/>
  <bookViews>
    <workbookView xWindow="0" yWindow="0" windowWidth="15975" windowHeight="7170" xr2:uid="{00000000-000D-0000-FFFF-FFFF00000000}"/>
  </bookViews>
  <sheets>
    <sheet name="Spring 2021 Textbooks" sheetId="3" r:id="rId1"/>
  </sheets>
  <calcPr calcId="191028"/>
</workbook>
</file>

<file path=xl/calcChain.xml><?xml version="1.0" encoding="utf-8"?>
<calcChain xmlns="http://schemas.openxmlformats.org/spreadsheetml/2006/main">
  <c r="D29" i="3" l="1"/>
  <c r="C29" i="3"/>
  <c r="B29" i="3"/>
  <c r="A29" i="3"/>
  <c r="B107" i="3" l="1"/>
  <c r="C42" i="3" l="1"/>
  <c r="C41" i="3"/>
  <c r="B42" i="3"/>
  <c r="B41" i="3"/>
  <c r="A42" i="3"/>
  <c r="A41" i="3"/>
  <c r="A51" i="3"/>
  <c r="A50" i="3"/>
  <c r="A49" i="3"/>
  <c r="C38" i="3" l="1"/>
  <c r="B38" i="3"/>
  <c r="A38" i="3"/>
  <c r="B37" i="3"/>
  <c r="B36" i="3"/>
  <c r="B35" i="3"/>
  <c r="C37" i="3"/>
  <c r="C36" i="3"/>
  <c r="C35" i="3"/>
  <c r="A37" i="3"/>
  <c r="A36" i="3"/>
  <c r="A35" i="3"/>
  <c r="C34" i="3"/>
  <c r="B34" i="3"/>
  <c r="A34" i="3"/>
  <c r="B49" i="3"/>
  <c r="C49" i="3"/>
  <c r="D49" i="3"/>
  <c r="E49" i="3"/>
  <c r="F49" i="3"/>
  <c r="G49" i="3"/>
  <c r="H49" i="3"/>
  <c r="I49" i="3"/>
  <c r="J49" i="3"/>
  <c r="K49" i="3"/>
  <c r="L49" i="3"/>
  <c r="B50" i="3"/>
  <c r="C50" i="3"/>
  <c r="D50" i="3"/>
  <c r="E50" i="3"/>
  <c r="F50" i="3"/>
  <c r="G50" i="3"/>
  <c r="H50" i="3"/>
  <c r="I50" i="3"/>
  <c r="J50" i="3"/>
  <c r="K50" i="3"/>
  <c r="L50" i="3"/>
  <c r="B51" i="3"/>
  <c r="C51" i="3"/>
  <c r="D51" i="3"/>
  <c r="E51" i="3"/>
  <c r="F51" i="3"/>
  <c r="G51" i="3"/>
  <c r="H51" i="3"/>
  <c r="I51" i="3"/>
  <c r="J51" i="3"/>
  <c r="K51" i="3"/>
  <c r="L51" i="3"/>
  <c r="A87" i="3" l="1"/>
  <c r="A86" i="3"/>
  <c r="A30" i="3" l="1"/>
  <c r="C54" i="3" l="1"/>
  <c r="B54" i="3"/>
  <c r="A54" i="3"/>
  <c r="L1" i="3" l="1"/>
  <c r="L5" i="3"/>
  <c r="L11" i="3"/>
  <c r="L16" i="3"/>
  <c r="L21" i="3"/>
  <c r="L25" i="3"/>
  <c r="L33" i="3"/>
  <c r="L45" i="3"/>
  <c r="L48" i="3"/>
  <c r="L58" i="3"/>
  <c r="L66" i="3"/>
  <c r="L71" i="3"/>
  <c r="L76" i="3"/>
  <c r="L80" i="3"/>
  <c r="L89" i="3"/>
  <c r="L94" i="3"/>
  <c r="L101" i="3"/>
  <c r="L106" i="3"/>
  <c r="B97" i="3"/>
  <c r="B78" i="3"/>
  <c r="B58" i="3"/>
  <c r="B27" i="3"/>
  <c r="B10" i="3"/>
  <c r="B17" i="3"/>
  <c r="B70" i="3"/>
  <c r="B11" i="3"/>
  <c r="B94" i="3"/>
  <c r="B73" i="3"/>
  <c r="B13" i="3"/>
  <c r="B65" i="3"/>
  <c r="B105" i="3"/>
  <c r="B87" i="3"/>
  <c r="B66" i="3"/>
  <c r="B43" i="3"/>
  <c r="B16" i="3"/>
  <c r="B104" i="3"/>
  <c r="B28" i="3"/>
  <c r="I10" i="3"/>
  <c r="A9" i="3"/>
  <c r="K97" i="3"/>
  <c r="I25" i="3"/>
  <c r="F24" i="3"/>
  <c r="H71" i="3"/>
  <c r="A70" i="3"/>
  <c r="K82" i="3"/>
  <c r="I91" i="3"/>
  <c r="F90" i="3"/>
  <c r="H22" i="3"/>
  <c r="E98" i="3"/>
  <c r="C97" i="3"/>
  <c r="D25" i="3"/>
  <c r="G71" i="3"/>
  <c r="E69" i="3"/>
  <c r="C82" i="3"/>
  <c r="D91" i="3"/>
  <c r="J89" i="3"/>
  <c r="G22" i="3"/>
  <c r="A23" i="3"/>
  <c r="H69" i="3"/>
  <c r="D90" i="3"/>
  <c r="C22" i="3"/>
  <c r="I107" i="3"/>
  <c r="F106" i="3"/>
  <c r="H104" i="3"/>
  <c r="A103" i="3"/>
  <c r="K20" i="3"/>
  <c r="I87" i="3"/>
  <c r="F86" i="3"/>
  <c r="H100" i="3"/>
  <c r="A80" i="3"/>
  <c r="K78" i="3"/>
  <c r="I76" i="3"/>
  <c r="F75" i="3"/>
  <c r="H73" i="3"/>
  <c r="A33" i="3"/>
  <c r="E97" i="3"/>
  <c r="I23" i="3"/>
  <c r="C70" i="3"/>
  <c r="G90" i="3"/>
  <c r="I84" i="3"/>
  <c r="E106" i="3"/>
  <c r="G104" i="3"/>
  <c r="J20" i="3"/>
  <c r="F30" i="3"/>
  <c r="I101" i="3"/>
  <c r="A100" i="3"/>
  <c r="G79" i="3"/>
  <c r="D76" i="3"/>
  <c r="F74" i="3"/>
  <c r="I28" i="3"/>
  <c r="I48" i="3"/>
  <c r="H6" i="3"/>
  <c r="A5" i="3"/>
  <c r="K4" i="3"/>
  <c r="I3" i="3"/>
  <c r="F54" i="3"/>
  <c r="H55" i="3"/>
  <c r="A62" i="3"/>
  <c r="K60" i="3"/>
  <c r="I17" i="3"/>
  <c r="C16" i="3"/>
  <c r="D14" i="3"/>
  <c r="F12" i="3"/>
  <c r="H9" i="3"/>
  <c r="L6" i="3"/>
  <c r="L14" i="3"/>
  <c r="L20" i="3"/>
  <c r="L43" i="3"/>
  <c r="L62" i="3"/>
  <c r="L69" i="3"/>
  <c r="L75" i="3"/>
  <c r="L84" i="3"/>
  <c r="L91" i="3"/>
  <c r="L103" i="3"/>
  <c r="B84" i="3"/>
  <c r="B48" i="3"/>
  <c r="B18" i="3"/>
  <c r="B60" i="3"/>
  <c r="B101" i="3"/>
  <c r="B77" i="3"/>
  <c r="B44" i="3"/>
  <c r="B98" i="3"/>
  <c r="B80" i="3"/>
  <c r="B56" i="3"/>
  <c r="B21" i="3"/>
  <c r="B91" i="3"/>
  <c r="B6" i="3"/>
  <c r="D10" i="3"/>
  <c r="F98" i="3"/>
  <c r="C24" i="3"/>
  <c r="I70" i="3"/>
  <c r="C69" i="3"/>
  <c r="E91" i="3"/>
  <c r="K89" i="3"/>
  <c r="I98" i="3"/>
  <c r="E24" i="3"/>
  <c r="K71" i="3"/>
  <c r="A69" i="3"/>
  <c r="G92" i="3"/>
  <c r="A90" i="3"/>
  <c r="H21" i="3"/>
  <c r="D24" i="3"/>
  <c r="G70" i="3"/>
  <c r="E89" i="3"/>
  <c r="H84" i="3"/>
  <c r="J106" i="3"/>
  <c r="D104" i="3"/>
  <c r="F31" i="3"/>
  <c r="D30" i="3"/>
  <c r="C86" i="3"/>
  <c r="I80" i="3"/>
  <c r="C79" i="3"/>
  <c r="E76" i="3"/>
  <c r="K74" i="3"/>
  <c r="E33" i="3"/>
  <c r="A71" i="3"/>
  <c r="F91" i="3"/>
  <c r="J107" i="3"/>
  <c r="F105" i="3"/>
  <c r="D31" i="3"/>
  <c r="C30" i="3"/>
  <c r="J100" i="3"/>
  <c r="C80" i="3"/>
  <c r="K75" i="3"/>
  <c r="G73" i="3"/>
  <c r="D27" i="3"/>
  <c r="I5" i="3"/>
  <c r="C58" i="3"/>
  <c r="E3" i="3"/>
  <c r="K56" i="3"/>
  <c r="E62" i="3"/>
  <c r="G60" i="3"/>
  <c r="A17" i="3"/>
  <c r="H14" i="3"/>
  <c r="C12" i="3"/>
  <c r="I67" i="3"/>
  <c r="F66" i="3"/>
  <c r="H64" i="3"/>
  <c r="A46" i="3"/>
  <c r="K44" i="3"/>
  <c r="I40" i="3"/>
  <c r="A52" i="3"/>
  <c r="G91" i="3"/>
  <c r="F84" i="3"/>
  <c r="E105" i="3"/>
  <c r="E31" i="3"/>
  <c r="D87" i="3"/>
  <c r="K100" i="3"/>
  <c r="J78" i="3"/>
  <c r="F76" i="3"/>
  <c r="E73" i="3"/>
  <c r="A28" i="3"/>
  <c r="G48" i="3"/>
  <c r="E6" i="3"/>
  <c r="C5" i="3"/>
  <c r="F56" i="3"/>
  <c r="I61" i="3"/>
  <c r="A60" i="3"/>
  <c r="G17" i="3"/>
  <c r="E14" i="3"/>
  <c r="C13" i="3"/>
  <c r="J67" i="3"/>
  <c r="A66" i="3"/>
  <c r="H46" i="3"/>
  <c r="L4" i="3"/>
  <c r="L15" i="3"/>
  <c r="L23" i="3"/>
  <c r="L40" i="3"/>
  <c r="L55" i="3"/>
  <c r="L65" i="3"/>
  <c r="L74" i="3"/>
  <c r="L86" i="3"/>
  <c r="L95" i="3"/>
  <c r="L100" i="3"/>
  <c r="B103" i="3"/>
  <c r="B69" i="3"/>
  <c r="B23" i="3"/>
  <c r="B4" i="3"/>
  <c r="B24" i="3"/>
  <c r="B82" i="3"/>
  <c r="B31" i="3"/>
  <c r="B40" i="3"/>
  <c r="B92" i="3"/>
  <c r="B52" i="3"/>
  <c r="B7" i="3"/>
  <c r="B20" i="3"/>
  <c r="A10" i="3"/>
  <c r="K23" i="3"/>
  <c r="J69" i="3"/>
  <c r="D92" i="3"/>
  <c r="G89" i="3"/>
  <c r="J97" i="3"/>
  <c r="I24" i="3"/>
  <c r="H70" i="3"/>
  <c r="F82" i="3"/>
  <c r="E90" i="3"/>
  <c r="H98" i="3"/>
  <c r="F71" i="3"/>
  <c r="K91" i="3"/>
  <c r="D84" i="3"/>
  <c r="K105" i="3"/>
  <c r="J31" i="3"/>
  <c r="E87" i="3"/>
  <c r="G101" i="3"/>
  <c r="F79" i="3"/>
  <c r="A76" i="3"/>
  <c r="D73" i="3"/>
  <c r="D98" i="3"/>
  <c r="K70" i="3"/>
  <c r="I22" i="3"/>
  <c r="A106" i="3"/>
  <c r="E20" i="3"/>
  <c r="H86" i="3"/>
  <c r="F80" i="3"/>
  <c r="E75" i="3"/>
  <c r="D28" i="3"/>
  <c r="E5" i="3"/>
  <c r="H57" i="3"/>
  <c r="J61" i="3"/>
  <c r="D18" i="3"/>
  <c r="G15" i="3"/>
  <c r="K11" i="3"/>
  <c r="A67" i="3"/>
  <c r="G65" i="3"/>
  <c r="H43" i="3"/>
  <c r="D97" i="3"/>
  <c r="A92" i="3"/>
  <c r="K107" i="3"/>
  <c r="A104" i="3"/>
  <c r="K87" i="3"/>
  <c r="C100" i="3"/>
  <c r="A78" i="3"/>
  <c r="K73" i="3"/>
  <c r="K27" i="3"/>
  <c r="I7" i="3"/>
  <c r="F5" i="3"/>
  <c r="K54" i="3"/>
  <c r="G55" i="3"/>
  <c r="E60" i="3"/>
  <c r="H16" i="3"/>
  <c r="K13" i="3"/>
  <c r="I9" i="3"/>
  <c r="F65" i="3"/>
  <c r="D45" i="3"/>
  <c r="K43" i="3"/>
  <c r="C52" i="3"/>
  <c r="I1" i="3"/>
  <c r="L9" i="3"/>
  <c r="L22" i="3"/>
  <c r="L44" i="3"/>
  <c r="L57" i="3"/>
  <c r="L73" i="3"/>
  <c r="L87" i="3"/>
  <c r="L97" i="3"/>
  <c r="L107" i="3"/>
  <c r="B64" i="3"/>
  <c r="B5" i="3"/>
  <c r="B46" i="3"/>
  <c r="B67" i="3"/>
  <c r="B9" i="3"/>
  <c r="B30" i="3"/>
  <c r="B75" i="3"/>
  <c r="C98" i="3"/>
  <c r="F69" i="3"/>
  <c r="J90" i="3"/>
  <c r="A98" i="3"/>
  <c r="A24" i="3"/>
  <c r="I69" i="3"/>
  <c r="I90" i="3"/>
  <c r="I97" i="3"/>
  <c r="I82" i="3"/>
  <c r="G21" i="3"/>
  <c r="G105" i="3"/>
  <c r="G20" i="3"/>
  <c r="K101" i="3"/>
  <c r="G78" i="3"/>
  <c r="C75" i="3"/>
  <c r="F28" i="3"/>
  <c r="D82" i="3"/>
  <c r="D107" i="3"/>
  <c r="I31" i="3"/>
  <c r="D101" i="3"/>
  <c r="I77" i="3"/>
  <c r="H33" i="3"/>
  <c r="K7" i="3"/>
  <c r="F58" i="3"/>
  <c r="J54" i="3"/>
  <c r="F61" i="3"/>
  <c r="F16" i="3"/>
  <c r="A13" i="3"/>
  <c r="J66" i="3"/>
  <c r="I46" i="3"/>
  <c r="G44" i="3"/>
  <c r="E52" i="3"/>
  <c r="G69" i="3"/>
  <c r="C107" i="3"/>
  <c r="I20" i="3"/>
  <c r="F101" i="3"/>
  <c r="G77" i="3"/>
  <c r="J33" i="3"/>
  <c r="G58" i="3"/>
  <c r="J60" i="3"/>
  <c r="I15" i="3"/>
  <c r="G12" i="3"/>
  <c r="E66" i="3"/>
  <c r="J44" i="3"/>
  <c r="C43" i="3"/>
  <c r="G95" i="3"/>
  <c r="A1" i="3"/>
  <c r="F25" i="3"/>
  <c r="I92" i="3"/>
  <c r="E21" i="3"/>
  <c r="I106" i="3"/>
  <c r="D103" i="3"/>
  <c r="I30" i="3"/>
  <c r="G100" i="3"/>
  <c r="K76" i="3"/>
  <c r="F48" i="3"/>
  <c r="H7" i="3"/>
  <c r="H90" i="3"/>
  <c r="D106" i="3"/>
  <c r="K31" i="3"/>
  <c r="C78" i="3"/>
  <c r="H28" i="3"/>
  <c r="E7" i="3"/>
  <c r="D58" i="3"/>
  <c r="K3" i="3"/>
  <c r="J25" i="3"/>
  <c r="K69" i="3"/>
  <c r="D89" i="3"/>
  <c r="J80" i="3"/>
  <c r="H76" i="3"/>
  <c r="A74" i="3"/>
  <c r="C33" i="3"/>
  <c r="C4" i="3"/>
  <c r="J56" i="3"/>
  <c r="F62" i="3"/>
  <c r="E18" i="3"/>
  <c r="I14" i="3"/>
  <c r="A12" i="3"/>
  <c r="C67" i="3"/>
  <c r="A64" i="3"/>
  <c r="G43" i="3"/>
  <c r="J87" i="3"/>
  <c r="I100" i="3"/>
  <c r="F78" i="3"/>
  <c r="D74" i="3"/>
  <c r="F7" i="3"/>
  <c r="K57" i="3"/>
  <c r="I89" i="3"/>
  <c r="G106" i="3"/>
  <c r="F103" i="3"/>
  <c r="A27" i="3"/>
  <c r="G6" i="3"/>
  <c r="G57" i="3"/>
  <c r="J55" i="3"/>
  <c r="I60" i="3"/>
  <c r="C17" i="3"/>
  <c r="C14" i="3"/>
  <c r="A11" i="3"/>
  <c r="H65" i="3"/>
  <c r="J46" i="3"/>
  <c r="I43" i="3"/>
  <c r="H95" i="3"/>
  <c r="I56" i="3"/>
  <c r="A18" i="3"/>
  <c r="F11" i="3"/>
  <c r="F46" i="3"/>
  <c r="E94" i="3"/>
  <c r="F87" i="3"/>
  <c r="J57" i="3"/>
  <c r="G61" i="3"/>
  <c r="E11" i="3"/>
  <c r="D46" i="3"/>
  <c r="J40" i="3"/>
  <c r="C91" i="3"/>
  <c r="C7" i="3"/>
  <c r="K62" i="3"/>
  <c r="I12" i="3"/>
  <c r="D65" i="3"/>
  <c r="H44" i="3"/>
  <c r="A95" i="3"/>
  <c r="G67" i="3"/>
  <c r="K104" i="3"/>
  <c r="A16" i="3"/>
  <c r="G31" i="3"/>
  <c r="H15" i="3"/>
  <c r="L54" i="3"/>
  <c r="L17" i="3"/>
  <c r="L31" i="3"/>
  <c r="L64" i="3"/>
  <c r="L78" i="3"/>
  <c r="B95" i="3"/>
  <c r="B33" i="3"/>
  <c r="B86" i="3"/>
  <c r="B62" i="3"/>
  <c r="B15" i="3"/>
  <c r="B61" i="3"/>
  <c r="B55" i="3"/>
  <c r="E25" i="3"/>
  <c r="E70" i="3"/>
  <c r="C90" i="3"/>
  <c r="D70" i="3"/>
  <c r="F89" i="3"/>
  <c r="E23" i="3"/>
  <c r="F22" i="3"/>
  <c r="I103" i="3"/>
  <c r="J79" i="3"/>
  <c r="G74" i="3"/>
  <c r="H24" i="3"/>
  <c r="J21" i="3"/>
  <c r="A20" i="3"/>
  <c r="K80" i="3"/>
  <c r="C74" i="3"/>
  <c r="G7" i="3"/>
  <c r="D57" i="3"/>
  <c r="I62" i="3"/>
  <c r="K15" i="3"/>
  <c r="D9" i="3"/>
  <c r="D64" i="3"/>
  <c r="D43" i="3"/>
  <c r="H23" i="3"/>
  <c r="H106" i="3"/>
  <c r="C87" i="3"/>
  <c r="D78" i="3"/>
  <c r="G28" i="3"/>
  <c r="A6" i="3"/>
  <c r="E54" i="3"/>
  <c r="K18" i="3"/>
  <c r="A14" i="3"/>
  <c r="K66" i="3"/>
  <c r="E44" i="3"/>
  <c r="F52" i="3"/>
  <c r="C25" i="3"/>
  <c r="J22" i="3"/>
  <c r="F107" i="3"/>
  <c r="H31" i="3"/>
  <c r="G86" i="3"/>
  <c r="A77" i="3"/>
  <c r="E28" i="3"/>
  <c r="H82" i="3"/>
  <c r="J105" i="3"/>
  <c r="H87" i="3"/>
  <c r="E78" i="3"/>
  <c r="J27" i="3"/>
  <c r="G5" i="3"/>
  <c r="F57" i="3"/>
  <c r="K24" i="3"/>
  <c r="F92" i="3"/>
  <c r="E84" i="3"/>
  <c r="C76" i="3"/>
  <c r="A73" i="3"/>
  <c r="E58" i="3"/>
  <c r="D56" i="3"/>
  <c r="A61" i="3"/>
  <c r="C15" i="3"/>
  <c r="I11" i="3"/>
  <c r="E65" i="3"/>
  <c r="I44" i="3"/>
  <c r="K86" i="3"/>
  <c r="D79" i="3"/>
  <c r="D75" i="3"/>
  <c r="H5" i="3"/>
  <c r="H97" i="3"/>
  <c r="G107" i="3"/>
  <c r="J73" i="3"/>
  <c r="D4" i="3"/>
  <c r="A55" i="3"/>
  <c r="K17" i="3"/>
  <c r="K14" i="3"/>
  <c r="G9" i="3"/>
  <c r="E64" i="3"/>
  <c r="C44" i="3"/>
  <c r="J1" i="3"/>
  <c r="D62" i="3"/>
  <c r="A15" i="3"/>
  <c r="J65" i="3"/>
  <c r="H1" i="3"/>
  <c r="J103" i="3"/>
  <c r="E27" i="3"/>
  <c r="F17" i="3"/>
  <c r="D66" i="3"/>
  <c r="A43" i="3"/>
  <c r="H52" i="3"/>
  <c r="G1" i="3"/>
  <c r="L7" i="3"/>
  <c r="L24" i="3"/>
  <c r="L52" i="3"/>
  <c r="L70" i="3"/>
  <c r="L90" i="3"/>
  <c r="L104" i="3"/>
  <c r="B74" i="3"/>
  <c r="B1" i="3"/>
  <c r="B22" i="3"/>
  <c r="B76" i="3"/>
  <c r="B12" i="3"/>
  <c r="J98" i="3"/>
  <c r="G23" i="3"/>
  <c r="H92" i="3"/>
  <c r="I21" i="3"/>
  <c r="F23" i="3"/>
  <c r="K92" i="3"/>
  <c r="K22" i="3"/>
  <c r="J92" i="3"/>
  <c r="A107" i="3"/>
  <c r="C31" i="3"/>
  <c r="D100" i="3"/>
  <c r="D77" i="3"/>
  <c r="J28" i="3"/>
  <c r="E92" i="3"/>
  <c r="C105" i="3"/>
  <c r="G87" i="3"/>
  <c r="J76" i="3"/>
  <c r="E48" i="3"/>
  <c r="J58" i="3"/>
  <c r="G56" i="3"/>
  <c r="H18" i="3"/>
  <c r="E13" i="3"/>
  <c r="C66" i="3"/>
  <c r="F45" i="3"/>
  <c r="A40" i="3"/>
  <c r="E22" i="3"/>
  <c r="G103" i="3"/>
  <c r="H80" i="3"/>
  <c r="H74" i="3"/>
  <c r="C27" i="3"/>
  <c r="H4" i="3"/>
  <c r="H62" i="3"/>
  <c r="C18" i="3"/>
  <c r="H11" i="3"/>
  <c r="G64" i="3"/>
  <c r="F43" i="3"/>
  <c r="D94" i="3"/>
  <c r="F70" i="3"/>
  <c r="J84" i="3"/>
  <c r="I104" i="3"/>
  <c r="D20" i="3"/>
  <c r="H79" i="3"/>
  <c r="J74" i="3"/>
  <c r="I27" i="3"/>
  <c r="D23" i="3"/>
  <c r="A84" i="3"/>
  <c r="C103" i="3"/>
  <c r="F100" i="3"/>
  <c r="G76" i="3"/>
  <c r="A58" i="3"/>
  <c r="H54" i="3"/>
  <c r="J70" i="3"/>
  <c r="D21" i="3"/>
  <c r="I78" i="3"/>
  <c r="E74" i="3"/>
  <c r="H48" i="3"/>
  <c r="H3" i="3"/>
  <c r="I55" i="3"/>
  <c r="G16" i="3"/>
  <c r="K12" i="3"/>
  <c r="K67" i="3"/>
  <c r="G46" i="3"/>
  <c r="K103" i="3"/>
  <c r="C101" i="3"/>
  <c r="E77" i="3"/>
  <c r="G27" i="3"/>
  <c r="A4" i="3"/>
  <c r="C21" i="3"/>
  <c r="A105" i="3"/>
  <c r="K28" i="3"/>
  <c r="C6" i="3"/>
  <c r="G54" i="3"/>
  <c r="E61" i="3"/>
  <c r="I16" i="3"/>
  <c r="E12" i="3"/>
  <c r="I66" i="3"/>
  <c r="J52" i="3"/>
  <c r="A82" i="3"/>
  <c r="H61" i="3"/>
  <c r="K9" i="3"/>
  <c r="E43" i="3"/>
  <c r="E101" i="3"/>
  <c r="H56" i="3"/>
  <c r="F14" i="3"/>
  <c r="C46" i="3"/>
  <c r="C95" i="3"/>
  <c r="A101" i="3"/>
  <c r="F55" i="3"/>
  <c r="E9" i="3"/>
  <c r="I64" i="3"/>
  <c r="G94" i="3"/>
  <c r="J43" i="3"/>
  <c r="D60" i="3"/>
  <c r="F94" i="3"/>
  <c r="F44" i="3"/>
  <c r="E30" i="3"/>
  <c r="K48" i="3"/>
  <c r="L3" i="3"/>
  <c r="L46" i="3"/>
  <c r="L79" i="3"/>
  <c r="B90" i="3"/>
  <c r="B106" i="3"/>
  <c r="B100" i="3"/>
  <c r="C10" i="3"/>
  <c r="G82" i="3"/>
  <c r="H25" i="3"/>
  <c r="C89" i="3"/>
  <c r="E107" i="3"/>
  <c r="J86" i="3"/>
  <c r="I33" i="3"/>
  <c r="K106" i="3"/>
  <c r="H78" i="3"/>
  <c r="D6" i="3"/>
  <c r="C61" i="3"/>
  <c r="E67" i="3"/>
  <c r="E40" i="3"/>
  <c r="K90" i="3"/>
  <c r="I86" i="3"/>
  <c r="F27" i="3"/>
  <c r="C56" i="3"/>
  <c r="F13" i="3"/>
  <c r="A44" i="3"/>
  <c r="K98" i="3"/>
  <c r="A22" i="3"/>
  <c r="A31" i="3"/>
  <c r="G75" i="3"/>
  <c r="F104" i="3"/>
  <c r="K77" i="3"/>
  <c r="K58" i="3"/>
  <c r="E71" i="3"/>
  <c r="K79" i="3"/>
  <c r="F33" i="3"/>
  <c r="A56" i="3"/>
  <c r="G13" i="3"/>
  <c r="J64" i="3"/>
  <c r="H101" i="3"/>
  <c r="D33" i="3"/>
  <c r="G33" i="3"/>
  <c r="A57" i="3"/>
  <c r="D17" i="3"/>
  <c r="F67" i="3"/>
  <c r="F40" i="3"/>
  <c r="D1" i="3"/>
  <c r="C62" i="3"/>
  <c r="H20" i="3"/>
  <c r="K16" i="3"/>
  <c r="C40" i="3"/>
  <c r="E16" i="3"/>
  <c r="A65" i="3"/>
  <c r="G52" i="3"/>
  <c r="D16" i="3"/>
  <c r="K46" i="3"/>
  <c r="L12" i="3"/>
  <c r="L56" i="3"/>
  <c r="L92" i="3"/>
  <c r="B45" i="3"/>
  <c r="B89" i="3"/>
  <c r="B71" i="3"/>
  <c r="G97" i="3"/>
  <c r="A91" i="3"/>
  <c r="C23" i="3"/>
  <c r="K25" i="3"/>
  <c r="C106" i="3"/>
  <c r="E80" i="3"/>
  <c r="G25" i="3"/>
  <c r="H103" i="3"/>
  <c r="A75" i="3"/>
  <c r="G4" i="3"/>
  <c r="E17" i="3"/>
  <c r="K65" i="3"/>
  <c r="K21" i="3"/>
  <c r="E79" i="3"/>
  <c r="D7" i="3"/>
  <c r="D61" i="3"/>
  <c r="D67" i="3"/>
  <c r="G40" i="3"/>
  <c r="E1" i="3"/>
  <c r="C84" i="3"/>
  <c r="F73" i="3"/>
  <c r="D69" i="3"/>
  <c r="F20" i="3"/>
  <c r="I74" i="3"/>
  <c r="I4" i="3"/>
  <c r="E82" i="3"/>
  <c r="J77" i="3"/>
  <c r="F6" i="3"/>
  <c r="K61" i="3"/>
  <c r="D12" i="3"/>
  <c r="G80" i="3"/>
  <c r="C48" i="3"/>
  <c r="G84" i="3"/>
  <c r="J48" i="3"/>
  <c r="E56" i="3"/>
  <c r="F15" i="3"/>
  <c r="K64" i="3"/>
  <c r="H17" i="3"/>
  <c r="K40" i="3"/>
  <c r="D80" i="3"/>
  <c r="C11" i="3"/>
  <c r="I58" i="3"/>
  <c r="D13" i="3"/>
  <c r="A45" i="3"/>
  <c r="I95" i="3"/>
  <c r="K6" i="3"/>
  <c r="E55" i="3"/>
  <c r="K84" i="3"/>
  <c r="L18" i="3"/>
  <c r="L98" i="3"/>
  <c r="B57" i="3"/>
  <c r="D22" i="3"/>
  <c r="C71" i="3"/>
  <c r="H77" i="3"/>
  <c r="K30" i="3"/>
  <c r="A3" i="3"/>
  <c r="E46" i="3"/>
  <c r="J104" i="3"/>
  <c r="K5" i="3"/>
  <c r="C65" i="3"/>
  <c r="D105" i="3"/>
  <c r="C28" i="3"/>
  <c r="D86" i="3"/>
  <c r="C3" i="3"/>
  <c r="H75" i="3"/>
  <c r="H60" i="3"/>
  <c r="G24" i="3"/>
  <c r="F4" i="3"/>
  <c r="A7" i="3"/>
  <c r="H13" i="3"/>
  <c r="G14" i="3"/>
  <c r="I65" i="3"/>
  <c r="C9" i="3"/>
  <c r="D95" i="3"/>
  <c r="E86" i="3"/>
  <c r="K1" i="3"/>
  <c r="C60" i="3"/>
  <c r="J71" i="3"/>
  <c r="D48" i="3"/>
  <c r="J91" i="3"/>
  <c r="F9" i="3"/>
  <c r="A79" i="3"/>
  <c r="H105" i="3"/>
  <c r="C64" i="3"/>
  <c r="F3" i="3"/>
  <c r="E4" i="3"/>
  <c r="L77" i="3"/>
  <c r="B3" i="3"/>
  <c r="D71" i="3"/>
  <c r="H91" i="3"/>
  <c r="H30" i="3"/>
  <c r="H89" i="3"/>
  <c r="A48" i="3"/>
  <c r="G11" i="3"/>
  <c r="A97" i="3"/>
  <c r="C73" i="3"/>
  <c r="D15" i="3"/>
  <c r="K52" i="3"/>
  <c r="C92" i="3"/>
  <c r="F77" i="3"/>
  <c r="H107" i="3"/>
  <c r="I6" i="3"/>
  <c r="A21" i="3"/>
  <c r="H66" i="3"/>
  <c r="C77" i="3"/>
  <c r="E104" i="3"/>
  <c r="G18" i="3"/>
  <c r="D44" i="3"/>
  <c r="I54" i="3"/>
  <c r="C94" i="3"/>
  <c r="A94" i="3"/>
  <c r="H12" i="3"/>
  <c r="I18" i="3"/>
  <c r="L30" i="3"/>
  <c r="L105" i="3"/>
  <c r="B79" i="3"/>
  <c r="F97" i="3"/>
  <c r="A89" i="3"/>
  <c r="J75" i="3"/>
  <c r="E100" i="3"/>
  <c r="D55" i="3"/>
  <c r="C45" i="3"/>
  <c r="G30" i="3"/>
  <c r="I57" i="3"/>
  <c r="I45" i="3"/>
  <c r="C104" i="3"/>
  <c r="I79" i="3"/>
  <c r="G98" i="3"/>
  <c r="I73" i="3"/>
  <c r="E15" i="3"/>
  <c r="J30" i="3"/>
  <c r="G3" i="3"/>
  <c r="H58" i="3"/>
  <c r="D11" i="3"/>
  <c r="I94" i="3"/>
  <c r="G66" i="3"/>
  <c r="I105" i="3"/>
  <c r="H45" i="3"/>
  <c r="C20" i="3"/>
  <c r="H67" i="3"/>
  <c r="F1" i="3"/>
  <c r="J62" i="3"/>
  <c r="C55" i="3"/>
  <c r="F64" i="3"/>
  <c r="L67" i="3"/>
  <c r="B14" i="3"/>
  <c r="B25" i="3"/>
  <c r="A25" i="3"/>
  <c r="J82" i="3"/>
  <c r="E103" i="3"/>
  <c r="H27" i="3"/>
  <c r="I13" i="3"/>
  <c r="I52" i="3"/>
  <c r="I75" i="3"/>
  <c r="F18" i="3"/>
  <c r="I71" i="3"/>
  <c r="F21" i="3"/>
  <c r="E57" i="3"/>
  <c r="G62" i="3"/>
  <c r="F95" i="3"/>
  <c r="E95" i="3"/>
  <c r="H40" i="3"/>
  <c r="C1" i="3"/>
  <c r="C57" i="3"/>
  <c r="D54" i="3"/>
  <c r="K55" i="3"/>
  <c r="F60" i="3"/>
  <c r="D5" i="3"/>
</calcChain>
</file>

<file path=xl/sharedStrings.xml><?xml version="1.0" encoding="utf-8"?>
<sst xmlns="http://schemas.openxmlformats.org/spreadsheetml/2006/main" count="81" uniqueCount="74">
  <si>
    <t>Required</t>
  </si>
  <si>
    <t xml:space="preserve">978-1600604294 </t>
  </si>
  <si>
    <t xml:space="preserve">978-0806628448 </t>
  </si>
  <si>
    <t xml:space="preserve">978-1401323332 </t>
  </si>
  <si>
    <t xml:space="preserve">978-0800632526 </t>
  </si>
  <si>
    <t>978-0835810173</t>
  </si>
  <si>
    <t xml:space="preserve">978-0763664510 </t>
  </si>
  <si>
    <t>Christopher Paul Curtis</t>
  </si>
  <si>
    <t>Bud, Not Buddy</t>
  </si>
  <si>
    <t>Random House</t>
  </si>
  <si>
    <t>978-0439402002</t>
  </si>
  <si>
    <t>7.99 paperback</t>
  </si>
  <si>
    <t>978-0689856402</t>
  </si>
  <si>
    <t>978-0064405058</t>
  </si>
  <si>
    <t>978-1603093002</t>
  </si>
  <si>
    <t xml:space="preserve">978-1603094009 </t>
  </si>
  <si>
    <t xml:space="preserve">978-1603094023 </t>
  </si>
  <si>
    <t xml:space="preserve">978-1338283389 </t>
  </si>
  <si>
    <t xml:space="preserve">978-0147515827 </t>
  </si>
  <si>
    <t xml:space="preserve">978-0064404990 </t>
  </si>
  <si>
    <t>978-0061228407</t>
  </si>
  <si>
    <t>978-0190276041</t>
  </si>
  <si>
    <t>$39.95 / $35.95</t>
  </si>
  <si>
    <t>Karl Elliger &amp; Willhelm Rudolph, eds.</t>
  </si>
  <si>
    <t>Biblia Hebraica Stuttgartensia</t>
  </si>
  <si>
    <t>Deutsche Bibelgesellschaft</t>
  </si>
  <si>
    <t>5th corrected edition</t>
  </si>
  <si>
    <t>978-1598561630</t>
  </si>
  <si>
    <t>$89.95 / $64.04</t>
  </si>
  <si>
    <t xml:space="preserve">Option 1 for additional required text1 </t>
  </si>
  <si>
    <t>Francis Brown, S.R. Driver, and Charles Augustus Briggs</t>
  </si>
  <si>
    <t>(1) The Brown-Driver-Briggs Hebrew and English Lexicon</t>
  </si>
  <si>
    <t>Hendrickson Publishers</t>
  </si>
  <si>
    <t>978-1565632066</t>
  </si>
  <si>
    <t>39.95 / $35.95</t>
  </si>
  <si>
    <t>Option 2 for additional required text</t>
  </si>
  <si>
    <t>William L. Holladay</t>
  </si>
  <si>
    <t>(2) A Concise Hebrew and Aramaic Lexicon of the Old Testament. BRILL. 2000</t>
  </si>
  <si>
    <t>Brill</t>
  </si>
  <si>
    <t>978-0802834133</t>
  </si>
  <si>
    <t>$40.00 / $27.63</t>
  </si>
  <si>
    <t>Option 3 for additional required text</t>
  </si>
  <si>
    <t>Ludwig Koehler, and Walter Baumgartner</t>
  </si>
  <si>
    <t>(3) The Hebrew and Aramaic Lexicon of the Old Testament</t>
  </si>
  <si>
    <t>Study Edition - 2 vols.</t>
  </si>
  <si>
    <t>978-9004124455</t>
  </si>
  <si>
    <t>Recommended</t>
  </si>
  <si>
    <t>Hebrew Vocabulary: Learning Words by Frequency and Cognate</t>
  </si>
  <si>
    <t>SBL</t>
  </si>
  <si>
    <t>978-1589830035</t>
  </si>
  <si>
    <t>$22.00 / $19.80</t>
  </si>
  <si>
    <t>Option for study Bible</t>
  </si>
  <si>
    <t>Michael D. Coogan, ed.</t>
  </si>
  <si>
    <t>The New Oxford Annotated Bible</t>
  </si>
  <si>
    <t>Oxford University Press</t>
  </si>
  <si>
    <t>5th edition</t>
  </si>
  <si>
    <t>$42.00 / $34.27</t>
  </si>
  <si>
    <t>Harold W. Attridge, ed.</t>
  </si>
  <si>
    <t>The HarperCollins Study Bible</t>
  </si>
  <si>
    <t>HarperOne</t>
  </si>
  <si>
    <t>Revised, updated edition</t>
  </si>
  <si>
    <t>$39.99 / $26.64</t>
  </si>
  <si>
    <t>Kathleen O’Connor</t>
  </si>
  <si>
    <t>Michael Glazier</t>
  </si>
  <si>
    <t>978-0814655719</t>
  </si>
  <si>
    <t>/ $23.90</t>
  </si>
  <si>
    <t>978-1570755200</t>
  </si>
  <si>
    <t>978-1570753961</t>
  </si>
  <si>
    <t>`</t>
  </si>
  <si>
    <t>Call and Consequences: A Womanist Reading of Mark</t>
  </si>
  <si>
    <t xml:space="preserve">Raquel A. St. Clair </t>
  </si>
  <si>
    <t>Fortress</t>
  </si>
  <si>
    <t>978-0800639020</t>
  </si>
  <si>
    <t>$22.13 on Amazon.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</si>
</sst>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0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Calibri"/>
      <family val="2"/>
    </font>
    <font>
      <sz val="10"/>
      <color rgb="FF333333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1"/>
      <color rgb="FF1111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0.5"/>
      <color rgb="FF11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6" fontId="7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6" fontId="9" fillId="3" borderId="0" xfId="0" applyNumberFormat="1" applyFont="1" applyFill="1" applyBorder="1" applyAlignment="1">
      <alignment horizontal="left" wrapText="1"/>
    </xf>
    <xf numFmtId="8" fontId="9" fillId="3" borderId="0" xfId="0" applyNumberFormat="1" applyFont="1" applyFill="1" applyBorder="1" applyAlignment="1">
      <alignment horizontal="left" wrapText="1"/>
    </xf>
    <xf numFmtId="0" fontId="13" fillId="0" borderId="0" xfId="0" applyFont="1"/>
    <xf numFmtId="0" fontId="10" fillId="0" borderId="0" xfId="0" applyFont="1" applyAlignment="1"/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8" fontId="15" fillId="3" borderId="0" xfId="0" applyNumberFormat="1" applyFont="1" applyFill="1" applyBorder="1" applyAlignment="1">
      <alignment horizontal="left" wrapText="1"/>
    </xf>
    <xf numFmtId="0" fontId="17" fillId="0" borderId="0" xfId="0" applyFont="1" applyAlignment="1"/>
    <xf numFmtId="0" fontId="10" fillId="0" borderId="0" xfId="0" applyFont="1" applyFill="1" applyAlignment="1"/>
    <xf numFmtId="8" fontId="2" fillId="0" borderId="0" xfId="0" applyNumberFormat="1" applyFont="1" applyFill="1" applyAlignment="1">
      <alignment horizontal="left"/>
    </xf>
    <xf numFmtId="0" fontId="18" fillId="0" borderId="0" xfId="0" applyFont="1" applyAlignment="1"/>
    <xf numFmtId="0" fontId="1" fillId="0" borderId="0" xfId="0" applyFont="1"/>
    <xf numFmtId="0" fontId="19" fillId="0" borderId="0" xfId="0" applyFont="1" applyAlignment="1"/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defaultColWidth="14.42578125" defaultRowHeight="15.75" customHeight="1" x14ac:dyDescent="0.2"/>
  <cols>
    <col min="1" max="1" width="47.42578125" style="4" customWidth="1"/>
    <col min="2" max="2" width="30.28515625" style="4" bestFit="1" customWidth="1"/>
    <col min="3" max="3" width="16.140625" style="4" bestFit="1" customWidth="1"/>
    <col min="4" max="4" width="32" style="4" customWidth="1"/>
    <col min="5" max="5" width="56.42578125" style="4" customWidth="1"/>
    <col min="6" max="6" width="94.7109375" style="4" customWidth="1"/>
    <col min="7" max="7" width="45.140625" style="4" bestFit="1" customWidth="1"/>
    <col min="8" max="8" width="20.42578125" style="4" bestFit="1" customWidth="1"/>
    <col min="9" max="9" width="32.42578125" style="4" bestFit="1" customWidth="1"/>
    <col min="10" max="10" width="54.5703125" style="4" bestFit="1" customWidth="1"/>
    <col min="11" max="11" width="46.5703125" style="4" bestFit="1" customWidth="1"/>
    <col min="12" max="12" width="143" style="4" bestFit="1" customWidth="1"/>
    <col min="13" max="13" width="14.42578125" style="4"/>
  </cols>
  <sheetData>
    <row r="1" spans="1:13" s="1" customFormat="1" ht="15.75" customHeight="1" x14ac:dyDescent="0.25">
      <c r="A1" s="2" t="str">
        <f ca="1">IFERROR(__xludf.DUMMYFUNCTION("""COMPUTED_VALUE"""),"Course Name (Number)")</f>
        <v>Course Name (Number)</v>
      </c>
      <c r="B1" s="2" t="str">
        <f ca="1">IFERROR(__xludf.DUMMYFUNCTION("""COMPUTED_VALUE"""),"Instructor(s)")</f>
        <v>Instructor(s)</v>
      </c>
      <c r="C1" s="2" t="str">
        <f ca="1">IFERROR(__xludf.DUMMYFUNCTION("""COMPUTED_VALUE"""),"Semester/Year")</f>
        <v>Semester/Year</v>
      </c>
      <c r="D1" s="2" t="str">
        <f ca="1">IFERROR(__xludf.DUMMYFUNCTION("""COMPUTED_VALUE"""),"This book/resource is:")</f>
        <v>This book/resource is:</v>
      </c>
      <c r="E1" s="2" t="str">
        <f ca="1">IFERROR(__xludf.DUMMYFUNCTION("""COMPUTED_VALUE"""),"Author/Editor")</f>
        <v>Author/Editor</v>
      </c>
      <c r="F1" s="2" t="str">
        <f ca="1">IFERROR(__xludf.DUMMYFUNCTION("""COMPUTED_VALUE"""),"Title")</f>
        <v>Title</v>
      </c>
      <c r="G1" s="2" t="str">
        <f ca="1">IFERROR(__xludf.DUMMYFUNCTION("""COMPUTED_VALUE"""),"Publisher")</f>
        <v>Publisher</v>
      </c>
      <c r="H1" s="2" t="str">
        <f ca="1">IFERROR(__xludf.DUMMYFUNCTION("""COMPUTED_VALUE"""),"Year of Publication")</f>
        <v>Year of Publication</v>
      </c>
      <c r="I1" s="2" t="str">
        <f ca="1">IFERROR(__xludf.DUMMYFUNCTION("""COMPUTED_VALUE"""),"Edition")</f>
        <v>Edition</v>
      </c>
      <c r="J1" s="2" t="str">
        <f ca="1">IFERROR(__xludf.DUMMYFUNCTION("""COMPUTED_VALUE"""),"ISBN (Preferred edition and paperback, if available)")</f>
        <v>ISBN (Preferred edition and paperback, if available)</v>
      </c>
      <c r="K1" s="2" t="str">
        <f ca="1">IFERROR(__xludf.DUMMYFUNCTION("""COMPUTED_VALUE"""),"Textbook Price (List/Amazon)")</f>
        <v>Textbook Price (List/Amazon)</v>
      </c>
      <c r="L1" s="2" t="str">
        <f ca="1">IFERROR(__xludf.DUMMYFUNCTION("""COMPUTED_VALUE"""),"Additional Comments/Instructions")</f>
        <v>Additional Comments/Instructions</v>
      </c>
      <c r="M1" s="3"/>
    </row>
    <row r="3" spans="1:13" ht="15.75" customHeight="1" x14ac:dyDescent="0.2">
      <c r="A3" s="5" t="str">
        <f ca="1">IFERROR(__xludf.DUMMYFUNCTION("""COMPUTED_VALUE"""),"CE 3163:  Formation in Home, Congregation, and Community")</f>
        <v>CE 3163:  Formation in Home, Congregation, and Community</v>
      </c>
      <c r="B3" s="5" t="str">
        <f ca="1">IFERROR(__xludf.DUMMYFUNCTION("""COMPUTED_VALUE"""),"Wigger, B.")</f>
        <v>Wigger, B.</v>
      </c>
      <c r="C3" s="5" t="str">
        <f ca="1">IFERROR(__xludf.DUMMYFUNCTION("""COMPUTED_VALUE"""),"Spring 2021")</f>
        <v>Spring 2021</v>
      </c>
      <c r="D3" s="5" t="s">
        <v>0</v>
      </c>
      <c r="E3" s="5" t="str">
        <f ca="1">IFERROR(__xludf.DUMMYFUNCTION("""COMPUTED_VALUE"""),"McCall, Guadalupe Garcia")</f>
        <v>McCall, Guadalupe Garcia</v>
      </c>
      <c r="F3" s="5" t="str">
        <f ca="1">IFERROR(__xludf.DUMMYFUNCTION("""COMPUTED_VALUE"""),"Under the Mesquite")</f>
        <v>Under the Mesquite</v>
      </c>
      <c r="G3" s="5" t="str">
        <f ca="1">IFERROR(__xludf.DUMMYFUNCTION("""COMPUTED_VALUE"""),"Lee and Low Books")</f>
        <v>Lee and Low Books</v>
      </c>
      <c r="H3" s="5">
        <f ca="1">IFERROR(__xludf.DUMMYFUNCTION("""COMPUTED_VALUE"""),2011)</f>
        <v>2011</v>
      </c>
      <c r="I3" s="5" t="str">
        <f ca="1">IFERROR(__xludf.DUMMYFUNCTION("""COMPUTED_VALUE"""),"any")</f>
        <v>any</v>
      </c>
      <c r="J3" s="5" t="s">
        <v>1</v>
      </c>
      <c r="K3" s="5" t="str">
        <f ca="1">IFERROR(__xludf.DUMMYFUNCTION("""COMPUTED_VALUE"""),"15.76")</f>
        <v>15.76</v>
      </c>
      <c r="L3" s="5" t="str">
        <f ca="1">IFERROR(__xludf.DUMMYFUNCTION("""COMPUTED_VALUE"""),"")</f>
        <v/>
      </c>
    </row>
    <row r="4" spans="1:13" ht="15.75" customHeight="1" x14ac:dyDescent="0.2">
      <c r="A4" s="5" t="str">
        <f ca="1">IFERROR(__xludf.DUMMYFUNCTION("""COMPUTED_VALUE"""),"CE 3163:  Formation in Home, Congregation, and Community")</f>
        <v>CE 3163:  Formation in Home, Congregation, and Community</v>
      </c>
      <c r="B4" s="5" t="str">
        <f ca="1">IFERROR(__xludf.DUMMYFUNCTION("""COMPUTED_VALUE"""),"Wigger, B.")</f>
        <v>Wigger, B.</v>
      </c>
      <c r="C4" s="5" t="str">
        <f ca="1">IFERROR(__xludf.DUMMYFUNCTION("""COMPUTED_VALUE"""),"Spring 2021")</f>
        <v>Spring 2021</v>
      </c>
      <c r="D4" s="5" t="str">
        <f ca="1">IFERROR(__xludf.DUMMYFUNCTION("""COMPUTED_VALUE"""),"Required")</f>
        <v>Required</v>
      </c>
      <c r="E4" s="5" t="str">
        <f ca="1">IFERROR(__xludf.DUMMYFUNCTION("""COMPUTED_VALUE"""),"Paula J. Carlson and Peter S. Hawkins (eds)")</f>
        <v>Paula J. Carlson and Peter S. Hawkins (eds)</v>
      </c>
      <c r="F4" s="5" t="str">
        <f ca="1">IFERROR(__xludf.DUMMYFUNCTION("""COMPUTED_VALUE"""),"Listening for God, Volume 2")</f>
        <v>Listening for God, Volume 2</v>
      </c>
      <c r="G4" s="5" t="str">
        <f ca="1">IFERROR(__xludf.DUMMYFUNCTION("""COMPUTED_VALUE"""),"Augsburg")</f>
        <v>Augsburg</v>
      </c>
      <c r="H4" s="5">
        <f ca="1">IFERROR(__xludf.DUMMYFUNCTION("""COMPUTED_VALUE"""),1996)</f>
        <v>1996</v>
      </c>
      <c r="I4" s="5" t="str">
        <f ca="1">IFERROR(__xludf.DUMMYFUNCTION("""COMPUTED_VALUE"""),"3rd")</f>
        <v>3rd</v>
      </c>
      <c r="J4" s="5" t="s">
        <v>2</v>
      </c>
      <c r="K4" s="5" t="str">
        <f ca="1">IFERROR(__xludf.DUMMYFUNCTION("""COMPUTED_VALUE"""),"8.99")</f>
        <v>8.99</v>
      </c>
      <c r="L4" s="5" t="str">
        <f ca="1">IFERROR(__xludf.DUMMYFUNCTION("""COMPUTED_VALUE"""),"")</f>
        <v/>
      </c>
    </row>
    <row r="5" spans="1:13" ht="15.75" customHeight="1" x14ac:dyDescent="0.2">
      <c r="A5" s="5" t="str">
        <f ca="1">IFERROR(__xludf.DUMMYFUNCTION("""COMPUTED_VALUE"""),"CE 3163:  Formation in Home, Congregation, and Community")</f>
        <v>CE 3163:  Formation in Home, Congregation, and Community</v>
      </c>
      <c r="B5" s="5" t="str">
        <f ca="1">IFERROR(__xludf.DUMMYFUNCTION("""COMPUTED_VALUE"""),"Wigger, B.")</f>
        <v>Wigger, B.</v>
      </c>
      <c r="C5" s="5" t="str">
        <f ca="1">IFERROR(__xludf.DUMMYFUNCTION("""COMPUTED_VALUE"""),"Spring 2021")</f>
        <v>Spring 2021</v>
      </c>
      <c r="D5" s="5" t="str">
        <f ca="1">IFERROR(__xludf.DUMMYFUNCTION("""COMPUTED_VALUE"""),"Required")</f>
        <v>Required</v>
      </c>
      <c r="E5" s="5" t="str">
        <f ca="1">IFERROR(__xludf.DUMMYFUNCTION("""COMPUTED_VALUE"""),"Marian Wright Edelman")</f>
        <v>Marian Wright Edelman</v>
      </c>
      <c r="F5" s="5" t="str">
        <f ca="1">IFERROR(__xludf.DUMMYFUNCTION("""COMPUTED_VALUE"""),"The Sea is so Wide and My Boat is so Small: Charting a Course for the Next Generation ")</f>
        <v xml:space="preserve">The Sea is so Wide and My Boat is so Small: Charting a Course for the Next Generation </v>
      </c>
      <c r="G5" s="5" t="str">
        <f ca="1">IFERROR(__xludf.DUMMYFUNCTION("""COMPUTED_VALUE"""),"Hyperion")</f>
        <v>Hyperion</v>
      </c>
      <c r="H5" s="5">
        <f ca="1">IFERROR(__xludf.DUMMYFUNCTION("""COMPUTED_VALUE"""),2008)</f>
        <v>2008</v>
      </c>
      <c r="I5" s="5" t="str">
        <f ca="1">IFERROR(__xludf.DUMMYFUNCTION("""COMPUTED_VALUE"""),"any")</f>
        <v>any</v>
      </c>
      <c r="J5" s="5" t="s">
        <v>3</v>
      </c>
      <c r="K5" s="5" t="str">
        <f ca="1">IFERROR(__xludf.DUMMYFUNCTION("""COMPUTED_VALUE"""),"6.62")</f>
        <v>6.62</v>
      </c>
      <c r="L5" s="5" t="str">
        <f ca="1">IFERROR(__xludf.DUMMYFUNCTION("""COMPUTED_VALUE"""),"")</f>
        <v/>
      </c>
    </row>
    <row r="6" spans="1:13" ht="15.75" customHeight="1" x14ac:dyDescent="0.2">
      <c r="A6" s="5" t="str">
        <f ca="1">IFERROR(__xludf.DUMMYFUNCTION("""COMPUTED_VALUE"""),"CE 3163:  Formation in Home, Congregation, and Community")</f>
        <v>CE 3163:  Formation in Home, Congregation, and Community</v>
      </c>
      <c r="B6" s="5" t="str">
        <f ca="1">IFERROR(__xludf.DUMMYFUNCTION("""COMPUTED_VALUE"""),"Wigger, B.")</f>
        <v>Wigger, B.</v>
      </c>
      <c r="C6" s="5" t="str">
        <f ca="1">IFERROR(__xludf.DUMMYFUNCTION("""COMPUTED_VALUE"""),"Spring 2021")</f>
        <v>Spring 2021</v>
      </c>
      <c r="D6" s="5" t="str">
        <f ca="1">IFERROR(__xludf.DUMMYFUNCTION("""COMPUTED_VALUE"""),"Required")</f>
        <v>Required</v>
      </c>
      <c r="E6" s="5" t="str">
        <f ca="1">IFERROR(__xludf.DUMMYFUNCTION("""COMPUTED_VALUE"""),"Lisa Sowle Cahill")</f>
        <v>Lisa Sowle Cahill</v>
      </c>
      <c r="F6" s="5" t="str">
        <f ca="1">IFERROR(__xludf.DUMMYFUNCTION("""COMPUTED_VALUE"""),"Family: A Christian Social Perspective")</f>
        <v>Family: A Christian Social Perspective</v>
      </c>
      <c r="G6" s="5" t="str">
        <f ca="1">IFERROR(__xludf.DUMMYFUNCTION("""COMPUTED_VALUE"""),"Fortress")</f>
        <v>Fortress</v>
      </c>
      <c r="H6" s="5">
        <f ca="1">IFERROR(__xludf.DUMMYFUNCTION("""COMPUTED_VALUE"""),2000)</f>
        <v>2000</v>
      </c>
      <c r="I6" s="5" t="str">
        <f ca="1">IFERROR(__xludf.DUMMYFUNCTION("""COMPUTED_VALUE"""),"any")</f>
        <v>any</v>
      </c>
      <c r="J6" s="5" t="s">
        <v>4</v>
      </c>
      <c r="K6" s="5" t="str">
        <f ca="1">IFERROR(__xludf.DUMMYFUNCTION("""COMPUTED_VALUE"""),"8.76")</f>
        <v>8.76</v>
      </c>
      <c r="L6" s="5" t="str">
        <f ca="1">IFERROR(__xludf.DUMMYFUNCTION("""COMPUTED_VALUE"""),"")</f>
        <v/>
      </c>
    </row>
    <row r="7" spans="1:13" ht="15.75" customHeight="1" x14ac:dyDescent="0.2">
      <c r="A7" s="5" t="str">
        <f ca="1">IFERROR(__xludf.DUMMYFUNCTION("""COMPUTED_VALUE"""),"CE 3163:  Formation in Home, Congregation, and Community")</f>
        <v>CE 3163:  Formation in Home, Congregation, and Community</v>
      </c>
      <c r="B7" s="5" t="str">
        <f ca="1">IFERROR(__xludf.DUMMYFUNCTION("""COMPUTED_VALUE"""),"Wigger, B.")</f>
        <v>Wigger, B.</v>
      </c>
      <c r="C7" s="5" t="str">
        <f ca="1">IFERROR(__xludf.DUMMYFUNCTION("""COMPUTED_VALUE"""),"Spring 2021")</f>
        <v>Spring 2021</v>
      </c>
      <c r="D7" s="5" t="str">
        <f ca="1">IFERROR(__xludf.DUMMYFUNCTION("""COMPUTED_VALUE"""),"Required")</f>
        <v>Required</v>
      </c>
      <c r="E7" s="5" t="str">
        <f ca="1">IFERROR(__xludf.DUMMYFUNCTION("""COMPUTED_VALUE"""),"Dorothy Bass and Susan Briehl (eds)")</f>
        <v>Dorothy Bass and Susan Briehl (eds)</v>
      </c>
      <c r="F7" s="5" t="str">
        <f ca="1">IFERROR(__xludf.DUMMYFUNCTION("""COMPUTED_VALUE"""),"On Our Way: Christian Practices for Living a Whole Life")</f>
        <v>On Our Way: Christian Practices for Living a Whole Life</v>
      </c>
      <c r="G7" s="5" t="str">
        <f ca="1">IFERROR(__xludf.DUMMYFUNCTION("""COMPUTED_VALUE"""),"Upper Room")</f>
        <v>Upper Room</v>
      </c>
      <c r="H7" s="5">
        <f ca="1">IFERROR(__xludf.DUMMYFUNCTION("""COMPUTED_VALUE"""),2020)</f>
        <v>2020</v>
      </c>
      <c r="I7" s="5" t="str">
        <f ca="1">IFERROR(__xludf.DUMMYFUNCTION("""COMPUTED_VALUE"""),"any")</f>
        <v>any</v>
      </c>
      <c r="J7" s="5" t="s">
        <v>5</v>
      </c>
      <c r="K7" s="5" t="str">
        <f ca="1">IFERROR(__xludf.DUMMYFUNCTION("""COMPUTED_VALUE"""),"16.98")</f>
        <v>16.98</v>
      </c>
      <c r="L7" s="5" t="str">
        <f ca="1">IFERROR(__xludf.DUMMYFUNCTION("""COMPUTED_VALUE"""),"")</f>
        <v/>
      </c>
    </row>
    <row r="8" spans="1:13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 ht="15.75" customHeight="1" x14ac:dyDescent="0.2">
      <c r="A9" s="5" t="str">
        <f ca="1">IFERROR(__xludf.DUMMYFUNCTION("""COMPUTED_VALUE"""),"CE 3253:  Children’s Literature in Life and Faith")</f>
        <v>CE 3253:  Children’s Literature in Life and Faith</v>
      </c>
      <c r="B9" s="5" t="str">
        <f ca="1">IFERROR(__xludf.DUMMYFUNCTION("""COMPUTED_VALUE"""),"Wigger, B.")</f>
        <v>Wigger, B.</v>
      </c>
      <c r="C9" s="5" t="str">
        <f ca="1">IFERROR(__xludf.DUMMYFUNCTION("""COMPUTED_VALUE"""),"Spring 2021")</f>
        <v>Spring 2021</v>
      </c>
      <c r="D9" s="5" t="str">
        <f ca="1">IFERROR(__xludf.DUMMYFUNCTION("""COMPUTED_VALUE"""),"Required")</f>
        <v>Required</v>
      </c>
      <c r="E9" s="5" t="str">
        <f ca="1">IFERROR(__xludf.DUMMYFUNCTION("""COMPUTED_VALUE"""),"House, Silas and Vaswani, Neela")</f>
        <v>House, Silas and Vaswani, Neela</v>
      </c>
      <c r="F9" s="5" t="str">
        <f ca="1">IFERROR(__xludf.DUMMYFUNCTION("""COMPUTED_VALUE"""),"Same Sun Here")</f>
        <v>Same Sun Here</v>
      </c>
      <c r="G9" s="5" t="str">
        <f ca="1">IFERROR(__xludf.DUMMYFUNCTION("""COMPUTED_VALUE"""),"Candlewick Press")</f>
        <v>Candlewick Press</v>
      </c>
      <c r="H9" s="5">
        <f ca="1">IFERROR(__xludf.DUMMYFUNCTION("""COMPUTED_VALUE"""),2012)</f>
        <v>2012</v>
      </c>
      <c r="I9" s="5" t="str">
        <f ca="1">IFERROR(__xludf.DUMMYFUNCTION("""COMPUTED_VALUE"""),"any")</f>
        <v>any</v>
      </c>
      <c r="J9" s="5" t="s">
        <v>6</v>
      </c>
      <c r="K9" s="5" t="str">
        <f ca="1">IFERROR(__xludf.DUMMYFUNCTION("""COMPUTED_VALUE"""),"7.49")</f>
        <v>7.49</v>
      </c>
      <c r="L9" s="5" t="str">
        <f ca="1">IFERROR(__xludf.DUMMYFUNCTION("""COMPUTED_VALUE"""),"")</f>
        <v/>
      </c>
    </row>
    <row r="10" spans="1:13" ht="15.75" customHeight="1" x14ac:dyDescent="0.2">
      <c r="A10" s="5" t="str">
        <f ca="1">IFERROR(__xludf.DUMMYFUNCTION("""COMPUTED_VALUE"""),"CE 3253:  Children’s Literature in Life and Faith")</f>
        <v>CE 3253:  Children’s Literature in Life and Faith</v>
      </c>
      <c r="B10" s="5" t="str">
        <f ca="1">IFERROR(__xludf.DUMMYFUNCTION("""COMPUTED_VALUE"""),"Wigger, B.")</f>
        <v>Wigger, B.</v>
      </c>
      <c r="C10" s="5" t="str">
        <f ca="1">IFERROR(__xludf.DUMMYFUNCTION("""COMPUTED_VALUE"""),"Spring 2021")</f>
        <v>Spring 2021</v>
      </c>
      <c r="D10" s="5" t="str">
        <f ca="1">IFERROR(__xludf.DUMMYFUNCTION("""COMPUTED_VALUE"""),"Required")</f>
        <v>Required</v>
      </c>
      <c r="E10" s="5" t="s">
        <v>7</v>
      </c>
      <c r="F10" s="5" t="s">
        <v>8</v>
      </c>
      <c r="G10" s="5" t="s">
        <v>9</v>
      </c>
      <c r="H10" s="5">
        <v>1999</v>
      </c>
      <c r="I10" s="5" t="str">
        <f ca="1">IFERROR(__xludf.DUMMYFUNCTION("""COMPUTED_VALUE"""),"any")</f>
        <v>any</v>
      </c>
      <c r="J10" s="5" t="s">
        <v>10</v>
      </c>
      <c r="K10" s="5" t="s">
        <v>11</v>
      </c>
      <c r="L10" s="5"/>
    </row>
    <row r="11" spans="1:13" ht="15.75" customHeight="1" x14ac:dyDescent="0.2">
      <c r="A11" s="5" t="str">
        <f ca="1">IFERROR(__xludf.DUMMYFUNCTION("""COMPUTED_VALUE"""),"CE 3253:  Children’s Literature in Life and Faith")</f>
        <v>CE 3253:  Children’s Literature in Life and Faith</v>
      </c>
      <c r="B11" s="5" t="str">
        <f ca="1">IFERROR(__xludf.DUMMYFUNCTION("""COMPUTED_VALUE"""),"Wigger, B.")</f>
        <v>Wigger, B.</v>
      </c>
      <c r="C11" s="5" t="str">
        <f ca="1">IFERROR(__xludf.DUMMYFUNCTION("""COMPUTED_VALUE"""),"Spring 2021")</f>
        <v>Spring 2021</v>
      </c>
      <c r="D11" s="5" t="str">
        <f ca="1">IFERROR(__xludf.DUMMYFUNCTION("""COMPUTED_VALUE"""),"Required")</f>
        <v>Required</v>
      </c>
      <c r="E11" s="5" t="str">
        <f ca="1">IFERROR(__xludf.DUMMYFUNCTION("""COMPUTED_VALUE"""),"Kadohata, Cynthia")</f>
        <v>Kadohata, Cynthia</v>
      </c>
      <c r="F11" s="5" t="str">
        <f ca="1">IFERROR(__xludf.DUMMYFUNCTION("""COMPUTED_VALUE"""),"Kira-Kira")</f>
        <v>Kira-Kira</v>
      </c>
      <c r="G11" s="5" t="str">
        <f ca="1">IFERROR(__xludf.DUMMYFUNCTION("""COMPUTED_VALUE"""),"Aladdin Paperbacks")</f>
        <v>Aladdin Paperbacks</v>
      </c>
      <c r="H11" s="5">
        <f ca="1">IFERROR(__xludf.DUMMYFUNCTION("""COMPUTED_VALUE"""),2006)</f>
        <v>2006</v>
      </c>
      <c r="I11" s="5" t="str">
        <f ca="1">IFERROR(__xludf.DUMMYFUNCTION("""COMPUTED_VALUE"""),"any")</f>
        <v>any</v>
      </c>
      <c r="J11" s="5" t="s">
        <v>12</v>
      </c>
      <c r="K11" s="5" t="str">
        <f ca="1">IFERROR(__xludf.DUMMYFUNCTION("""COMPUTED_VALUE"""),"6.99")</f>
        <v>6.99</v>
      </c>
      <c r="L11" s="5" t="str">
        <f ca="1">IFERROR(__xludf.DUMMYFUNCTION("""COMPUTED_VALUE"""),"")</f>
        <v/>
      </c>
    </row>
    <row r="12" spans="1:13" ht="15.75" customHeight="1" x14ac:dyDescent="0.2">
      <c r="A12" s="5" t="str">
        <f ca="1">IFERROR(__xludf.DUMMYFUNCTION("""COMPUTED_VALUE"""),"CE 3253:  Children’s Literature in Life and Faith")</f>
        <v>CE 3253:  Children’s Literature in Life and Faith</v>
      </c>
      <c r="B12" s="5" t="str">
        <f ca="1">IFERROR(__xludf.DUMMYFUNCTION("""COMPUTED_VALUE"""),"Wigger, B.")</f>
        <v>Wigger, B.</v>
      </c>
      <c r="C12" s="5" t="str">
        <f ca="1">IFERROR(__xludf.DUMMYFUNCTION("""COMPUTED_VALUE"""),"Spring 2021")</f>
        <v>Spring 2021</v>
      </c>
      <c r="D12" s="5" t="str">
        <f ca="1">IFERROR(__xludf.DUMMYFUNCTION("""COMPUTED_VALUE"""),"Required")</f>
        <v>Required</v>
      </c>
      <c r="E12" s="5" t="str">
        <f ca="1">IFERROR(__xludf.DUMMYFUNCTION("""COMPUTED_VALUE"""),"C.S. Lewis")</f>
        <v>C.S. Lewis</v>
      </c>
      <c r="F12" s="5" t="str">
        <f ca="1">IFERROR(__xludf.DUMMYFUNCTION("""COMPUTED_VALUE"""),"The Magician's Nephew (any edition)")</f>
        <v>The Magician's Nephew (any edition)</v>
      </c>
      <c r="G12" s="5" t="str">
        <f ca="1">IFERROR(__xludf.DUMMYFUNCTION("""COMPUTED_VALUE"""),"HarperCollins")</f>
        <v>HarperCollins</v>
      </c>
      <c r="H12" s="5">
        <f ca="1">IFERROR(__xludf.DUMMYFUNCTION("""COMPUTED_VALUE"""),2008)</f>
        <v>2008</v>
      </c>
      <c r="I12" s="5" t="str">
        <f ca="1">IFERROR(__xludf.DUMMYFUNCTION("""COMPUTED_VALUE"""),"any")</f>
        <v>any</v>
      </c>
      <c r="J12" s="5" t="s">
        <v>13</v>
      </c>
      <c r="K12" s="5" t="str">
        <f ca="1">IFERROR(__xludf.DUMMYFUNCTION("""COMPUTED_VALUE"""),"")</f>
        <v/>
      </c>
      <c r="L12" s="5" t="str">
        <f ca="1">IFERROR(__xludf.DUMMYFUNCTION("""COMPUTED_VALUE"""),"")</f>
        <v/>
      </c>
    </row>
    <row r="13" spans="1:13" ht="15.75" customHeight="1" x14ac:dyDescent="0.2">
      <c r="A13" s="5" t="str">
        <f ca="1">IFERROR(__xludf.DUMMYFUNCTION("""COMPUTED_VALUE"""),"CE 3253:  Children’s Literature in Life and Faith")</f>
        <v>CE 3253:  Children’s Literature in Life and Faith</v>
      </c>
      <c r="B13" s="5" t="str">
        <f ca="1">IFERROR(__xludf.DUMMYFUNCTION("""COMPUTED_VALUE"""),"Wigger, B.")</f>
        <v>Wigger, B.</v>
      </c>
      <c r="C13" s="5" t="str">
        <f ca="1">IFERROR(__xludf.DUMMYFUNCTION("""COMPUTED_VALUE"""),"Spring 2021")</f>
        <v>Spring 2021</v>
      </c>
      <c r="D13" s="5" t="str">
        <f ca="1">IFERROR(__xludf.DUMMYFUNCTION("""COMPUTED_VALUE"""),"Required")</f>
        <v>Required</v>
      </c>
      <c r="E13" s="5" t="str">
        <f ca="1">IFERROR(__xludf.DUMMYFUNCTION("""COMPUTED_VALUE"""),"Lewis, John, Andrew Aydin, and Nate Powell")</f>
        <v>Lewis, John, Andrew Aydin, and Nate Powell</v>
      </c>
      <c r="F13" s="5" t="str">
        <f ca="1">IFERROR(__xludf.DUMMYFUNCTION("""COMPUTED_VALUE"""),"March: Book 1")</f>
        <v>March: Book 1</v>
      </c>
      <c r="G13" s="5" t="str">
        <f ca="1">IFERROR(__xludf.DUMMYFUNCTION("""COMPUTED_VALUE"""),"Top Shelp Productions")</f>
        <v>Top Shelp Productions</v>
      </c>
      <c r="H13" s="5">
        <f ca="1">IFERROR(__xludf.DUMMYFUNCTION("""COMPUTED_VALUE"""),2013)</f>
        <v>2013</v>
      </c>
      <c r="I13" s="5" t="str">
        <f ca="1">IFERROR(__xludf.DUMMYFUNCTION("""COMPUTED_VALUE"""),"latest")</f>
        <v>latest</v>
      </c>
      <c r="J13" s="5" t="s">
        <v>14</v>
      </c>
      <c r="K13" s="5" t="str">
        <f ca="1">IFERROR(__xludf.DUMMYFUNCTION("""COMPUTED_VALUE"""),"11.01")</f>
        <v>11.01</v>
      </c>
      <c r="L13" s="5"/>
    </row>
    <row r="14" spans="1:13" ht="15.75" customHeight="1" x14ac:dyDescent="0.2">
      <c r="A14" s="5" t="str">
        <f ca="1">IFERROR(__xludf.DUMMYFUNCTION("""COMPUTED_VALUE"""),"CE 3253:  Children’s Literature in Life and Faith")</f>
        <v>CE 3253:  Children’s Literature in Life and Faith</v>
      </c>
      <c r="B14" s="5" t="str">
        <f ca="1">IFERROR(__xludf.DUMMYFUNCTION("""COMPUTED_VALUE"""),"Wigger, B.")</f>
        <v>Wigger, B.</v>
      </c>
      <c r="C14" s="5" t="str">
        <f ca="1">IFERROR(__xludf.DUMMYFUNCTION("""COMPUTED_VALUE"""),"Spring 2021")</f>
        <v>Spring 2021</v>
      </c>
      <c r="D14" s="5" t="str">
        <f ca="1">IFERROR(__xludf.DUMMYFUNCTION("""COMPUTED_VALUE"""),"Required")</f>
        <v>Required</v>
      </c>
      <c r="E14" s="5" t="str">
        <f ca="1">IFERROR(__xludf.DUMMYFUNCTION("""COMPUTED_VALUE"""),"Lewis, John, Andrew Aydin, and Nate Powell")</f>
        <v>Lewis, John, Andrew Aydin, and Nate Powell</v>
      </c>
      <c r="F14" s="5" t="str">
        <f ca="1">IFERROR(__xludf.DUMMYFUNCTION("""COMPUTED_VALUE"""),"March: Book 2")</f>
        <v>March: Book 2</v>
      </c>
      <c r="G14" s="5" t="str">
        <f ca="1">IFERROR(__xludf.DUMMYFUNCTION("""COMPUTED_VALUE"""),"Top Shelf")</f>
        <v>Top Shelf</v>
      </c>
      <c r="H14" s="5">
        <f ca="1">IFERROR(__xludf.DUMMYFUNCTION("""COMPUTED_VALUE"""),2015)</f>
        <v>2015</v>
      </c>
      <c r="I14" s="5" t="str">
        <f ca="1">IFERROR(__xludf.DUMMYFUNCTION("""COMPUTED_VALUE"""),"latest")</f>
        <v>latest</v>
      </c>
      <c r="J14" s="5" t="s">
        <v>15</v>
      </c>
      <c r="K14" s="5" t="str">
        <f ca="1">IFERROR(__xludf.DUMMYFUNCTION("""COMPUTED_VALUE"""),"11.83")</f>
        <v>11.83</v>
      </c>
      <c r="L14" s="5" t="str">
        <f ca="1">IFERROR(__xludf.DUMMYFUNCTION("""COMPUTED_VALUE"""),"")</f>
        <v/>
      </c>
    </row>
    <row r="15" spans="1:13" ht="15.75" customHeight="1" x14ac:dyDescent="0.2">
      <c r="A15" s="5" t="str">
        <f ca="1">IFERROR(__xludf.DUMMYFUNCTION("""COMPUTED_VALUE"""),"CE 3253:  Children’s Literature in Life and Faith")</f>
        <v>CE 3253:  Children’s Literature in Life and Faith</v>
      </c>
      <c r="B15" s="5" t="str">
        <f ca="1">IFERROR(__xludf.DUMMYFUNCTION("""COMPUTED_VALUE"""),"Wigger, B.")</f>
        <v>Wigger, B.</v>
      </c>
      <c r="C15" s="5" t="str">
        <f ca="1">IFERROR(__xludf.DUMMYFUNCTION("""COMPUTED_VALUE"""),"Spring 2021")</f>
        <v>Spring 2021</v>
      </c>
      <c r="D15" s="5" t="str">
        <f ca="1">IFERROR(__xludf.DUMMYFUNCTION("""COMPUTED_VALUE"""),"Required")</f>
        <v>Required</v>
      </c>
      <c r="E15" s="5" t="str">
        <f ca="1">IFERROR(__xludf.DUMMYFUNCTION("""COMPUTED_VALUE"""),"Lewis, John, Andrew Aydin, and Nate Powell")</f>
        <v>Lewis, John, Andrew Aydin, and Nate Powell</v>
      </c>
      <c r="F15" s="5" t="str">
        <f ca="1">IFERROR(__xludf.DUMMYFUNCTION("""COMPUTED_VALUE"""),"March: Book 3")</f>
        <v>March: Book 3</v>
      </c>
      <c r="G15" s="5" t="str">
        <f ca="1">IFERROR(__xludf.DUMMYFUNCTION("""COMPUTED_VALUE"""),"Top Shelp Productions")</f>
        <v>Top Shelp Productions</v>
      </c>
      <c r="H15" s="5">
        <f ca="1">IFERROR(__xludf.DUMMYFUNCTION("""COMPUTED_VALUE"""),2016)</f>
        <v>2016</v>
      </c>
      <c r="I15" s="5" t="str">
        <f ca="1">IFERROR(__xludf.DUMMYFUNCTION("""COMPUTED_VALUE"""),"latest")</f>
        <v>latest</v>
      </c>
      <c r="J15" s="5" t="s">
        <v>16</v>
      </c>
      <c r="K15" s="5" t="str">
        <f ca="1">IFERROR(__xludf.DUMMYFUNCTION("""COMPUTED_VALUE"""),"11.37")</f>
        <v>11.37</v>
      </c>
      <c r="L15" s="5" t="str">
        <f ca="1">IFERROR(__xludf.DUMMYFUNCTION("""COMPUTED_VALUE"""),"")</f>
        <v/>
      </c>
    </row>
    <row r="16" spans="1:13" ht="15.75" customHeight="1" x14ac:dyDescent="0.2">
      <c r="A16" s="5" t="str">
        <f ca="1">IFERROR(__xludf.DUMMYFUNCTION("""COMPUTED_VALUE"""),"CE 3253:  Children’s Literature in Life and Faith")</f>
        <v>CE 3253:  Children’s Literature in Life and Faith</v>
      </c>
      <c r="B16" s="5" t="str">
        <f ca="1">IFERROR(__xludf.DUMMYFUNCTION("""COMPUTED_VALUE"""),"Wigger, B.")</f>
        <v>Wigger, B.</v>
      </c>
      <c r="C16" s="5" t="str">
        <f ca="1">IFERROR(__xludf.DUMMYFUNCTION("""COMPUTED_VALUE"""),"Spring 2021")</f>
        <v>Spring 2021</v>
      </c>
      <c r="D16" s="5" t="str">
        <f ca="1">IFERROR(__xludf.DUMMYFUNCTION("""COMPUTED_VALUE"""),"Required")</f>
        <v>Required</v>
      </c>
      <c r="E16" s="5" t="str">
        <f ca="1">IFERROR(__xludf.DUMMYFUNCTION("""COMPUTED_VALUE"""),"Salazar, Aida")</f>
        <v>Salazar, Aida</v>
      </c>
      <c r="F16" s="5" t="str">
        <f ca="1">IFERROR(__xludf.DUMMYFUNCTION("""COMPUTED_VALUE"""),"The Moon Within")</f>
        <v>The Moon Within</v>
      </c>
      <c r="G16" s="5" t="str">
        <f ca="1">IFERROR(__xludf.DUMMYFUNCTION("""COMPUTED_VALUE"""),"Arthur E. Levine Books")</f>
        <v>Arthur E. Levine Books</v>
      </c>
      <c r="H16" s="5">
        <f ca="1">IFERROR(__xludf.DUMMYFUNCTION("""COMPUTED_VALUE"""),2019)</f>
        <v>2019</v>
      </c>
      <c r="I16" s="5" t="str">
        <f ca="1">IFERROR(__xludf.DUMMYFUNCTION("""COMPUTED_VALUE"""),"latest")</f>
        <v>latest</v>
      </c>
      <c r="J16" s="5" t="s">
        <v>17</v>
      </c>
      <c r="K16" s="5" t="str">
        <f ca="1">IFERROR(__xludf.DUMMYFUNCTION("""COMPUTED_VALUE"""),"7.99")</f>
        <v>7.99</v>
      </c>
      <c r="L16" s="5" t="str">
        <f ca="1">IFERROR(__xludf.DUMMYFUNCTION("""COMPUTED_VALUE"""),"")</f>
        <v/>
      </c>
    </row>
    <row r="17" spans="1:12" ht="15.75" customHeight="1" x14ac:dyDescent="0.2">
      <c r="A17" s="5" t="str">
        <f ca="1">IFERROR(__xludf.DUMMYFUNCTION("""COMPUTED_VALUE"""),"CE 3253:  Children’s Literature in Life and Faith")</f>
        <v>CE 3253:  Children’s Literature in Life and Faith</v>
      </c>
      <c r="B17" s="5" t="str">
        <f ca="1">IFERROR(__xludf.DUMMYFUNCTION("""COMPUTED_VALUE"""),"Wigger, B.")</f>
        <v>Wigger, B.</v>
      </c>
      <c r="C17" s="5" t="str">
        <f ca="1">IFERROR(__xludf.DUMMYFUNCTION("""COMPUTED_VALUE"""),"Spring 2021")</f>
        <v>Spring 2021</v>
      </c>
      <c r="D17" s="5" t="str">
        <f ca="1">IFERROR(__xludf.DUMMYFUNCTION("""COMPUTED_VALUE"""),"Required")</f>
        <v>Required</v>
      </c>
      <c r="E17" s="5" t="str">
        <f ca="1">IFERROR(__xludf.DUMMYFUNCTION("""COMPUTED_VALUE"""),"Woodson, Jacqueline")</f>
        <v>Woodson, Jacqueline</v>
      </c>
      <c r="F17" s="5" t="str">
        <f ca="1">IFERROR(__xludf.DUMMYFUNCTION("""COMPUTED_VALUE"""),"Brown Girl Dreaming")</f>
        <v>Brown Girl Dreaming</v>
      </c>
      <c r="G17" s="5" t="str">
        <f ca="1">IFERROR(__xludf.DUMMYFUNCTION("""COMPUTED_VALUE"""),"Puffin")</f>
        <v>Puffin</v>
      </c>
      <c r="H17" s="5">
        <f ca="1">IFERROR(__xludf.DUMMYFUNCTION("""COMPUTED_VALUE"""),2016)</f>
        <v>2016</v>
      </c>
      <c r="I17" s="5" t="str">
        <f ca="1">IFERROR(__xludf.DUMMYFUNCTION("""COMPUTED_VALUE"""),"any")</f>
        <v>any</v>
      </c>
      <c r="J17" s="5" t="s">
        <v>18</v>
      </c>
      <c r="K17" s="5" t="str">
        <f ca="1">IFERROR(__xludf.DUMMYFUNCTION("""COMPUTED_VALUE"""),"9.34")</f>
        <v>9.34</v>
      </c>
      <c r="L17" s="5" t="str">
        <f ca="1">IFERROR(__xludf.DUMMYFUNCTION("""COMPUTED_VALUE"""),"")</f>
        <v/>
      </c>
    </row>
    <row r="18" spans="1:12" ht="15.75" customHeight="1" x14ac:dyDescent="0.2">
      <c r="A18" s="5" t="str">
        <f ca="1">IFERROR(__xludf.DUMMYFUNCTION("""COMPUTED_VALUE"""),"CE 3253:  Children’s Literature in Life and Faith")</f>
        <v>CE 3253:  Children’s Literature in Life and Faith</v>
      </c>
      <c r="B18" s="5" t="str">
        <f ca="1">IFERROR(__xludf.DUMMYFUNCTION("""COMPUTED_VALUE"""),"Wigger, B.")</f>
        <v>Wigger, B.</v>
      </c>
      <c r="C18" s="5" t="str">
        <f ca="1">IFERROR(__xludf.DUMMYFUNCTION("""COMPUTED_VALUE"""),"Spring 2021")</f>
        <v>Spring 2021</v>
      </c>
      <c r="D18" s="5" t="str">
        <f ca="1">IFERROR(__xludf.DUMMYFUNCTION("""COMPUTED_VALUE"""),"Recommended")</f>
        <v>Recommended</v>
      </c>
      <c r="E18" s="5" t="str">
        <f ca="1">IFERROR(__xludf.DUMMYFUNCTION("""COMPUTED_VALUE"""),"C.S. Lewis")</f>
        <v>C.S. Lewis</v>
      </c>
      <c r="F18" s="5" t="str">
        <f ca="1">IFERROR(__xludf.DUMMYFUNCTION("""COMPUTED_VALUE"""),"The Lion the Witch and the Wardrobe")</f>
        <v>The Lion the Witch and the Wardrobe</v>
      </c>
      <c r="G18" s="5" t="str">
        <f ca="1">IFERROR(__xludf.DUMMYFUNCTION("""COMPUTED_VALUE"""),"HarperCollins")</f>
        <v>HarperCollins</v>
      </c>
      <c r="H18" s="5">
        <f ca="1">IFERROR(__xludf.DUMMYFUNCTION("""COMPUTED_VALUE"""),2008)</f>
        <v>2008</v>
      </c>
      <c r="I18" s="5" t="str">
        <f ca="1">IFERROR(__xludf.DUMMYFUNCTION("""COMPUTED_VALUE"""),"any")</f>
        <v>any</v>
      </c>
      <c r="J18" s="5" t="s">
        <v>19</v>
      </c>
      <c r="K18" s="5" t="str">
        <f ca="1">IFERROR(__xludf.DUMMYFUNCTION("""COMPUTED_VALUE"""),"7.64")</f>
        <v>7.64</v>
      </c>
      <c r="L18" s="5" t="str">
        <f ca="1">IFERROR(__xludf.DUMMYFUNCTION("""COMPUTED_VALUE"""),"")</f>
        <v/>
      </c>
    </row>
    <row r="19" spans="1:12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5.75" customHeight="1" x14ac:dyDescent="0.2">
      <c r="A20" s="5" t="str">
        <f ca="1">IFERROR(__xludf.DUMMYFUNCTION("""COMPUTED_VALUE"""),"NT 1313:  Gospel and Acts")</f>
        <v>NT 1313:  Gospel and Acts</v>
      </c>
      <c r="B20" s="5" t="str">
        <f ca="1">IFERROR(__xludf.DUMMYFUNCTION("""COMPUTED_VALUE"""),"Garret, S. &amp; Hong, S.")</f>
        <v>Garret, S. &amp; Hong, S.</v>
      </c>
      <c r="C20" s="5" t="str">
        <f ca="1">IFERROR(__xludf.DUMMYFUNCTION("""COMPUTED_VALUE"""),"Spring 2021")</f>
        <v>Spring 2021</v>
      </c>
      <c r="D20" s="5" t="str">
        <f ca="1">IFERROR(__xludf.DUMMYFUNCTION("""COMPUTED_VALUE"""),"Recommended")</f>
        <v>Recommended</v>
      </c>
      <c r="E20" s="5" t="str">
        <f ca="1">IFERROR(__xludf.DUMMYFUNCTION("""COMPUTED_VALUE"""),"Gordon D. Fee")</f>
        <v>Gordon D. Fee</v>
      </c>
      <c r="F20" s="5" t="str">
        <f ca="1">IFERROR(__xludf.DUMMYFUNCTION("""COMPUTED_VALUE"""),"New Testament Exegesis: A Handbook for Students and Pastors")</f>
        <v>New Testament Exegesis: A Handbook for Students and Pastors</v>
      </c>
      <c r="G20" s="5" t="str">
        <f ca="1">IFERROR(__xludf.DUMMYFUNCTION("""COMPUTED_VALUE"""),"Westminster John Knox Press")</f>
        <v>Westminster John Knox Press</v>
      </c>
      <c r="H20" s="5">
        <f ca="1">IFERROR(__xludf.DUMMYFUNCTION("""COMPUTED_VALUE"""),2002)</f>
        <v>2002</v>
      </c>
      <c r="I20" s="5" t="str">
        <f ca="1">IFERROR(__xludf.DUMMYFUNCTION("""COMPUTED_VALUE"""),"3rd edition")</f>
        <v>3rd edition</v>
      </c>
      <c r="J20" s="5" t="str">
        <f ca="1">IFERROR(__xludf.DUMMYFUNCTION("""COMPUTED_VALUE"""),"978-0664223168")</f>
        <v>978-0664223168</v>
      </c>
      <c r="K20" s="5" t="str">
        <f ca="1">IFERROR(__xludf.DUMMYFUNCTION("""COMPUTED_VALUE"""),"$27.00 / $17.39")</f>
        <v>$27.00 / $17.39</v>
      </c>
      <c r="L20" s="5" t="str">
        <f ca="1">IFERROR(__xludf.DUMMYFUNCTION("""COMPUTED_VALUE"""),"")</f>
        <v/>
      </c>
    </row>
    <row r="21" spans="1:12" ht="15.75" customHeight="1" x14ac:dyDescent="0.2">
      <c r="A21" s="5" t="str">
        <f ca="1">IFERROR(__xludf.DUMMYFUNCTION("""COMPUTED_VALUE"""),"NT 1313:  Gospel and Acts")</f>
        <v>NT 1313:  Gospel and Acts</v>
      </c>
      <c r="B21" s="5" t="str">
        <f ca="1">IFERROR(__xludf.DUMMYFUNCTION("""COMPUTED_VALUE"""),"Garret, S. &amp; Hong, S.")</f>
        <v>Garret, S. &amp; Hong, S.</v>
      </c>
      <c r="C21" s="5" t="str">
        <f ca="1">IFERROR(__xludf.DUMMYFUNCTION("""COMPUTED_VALUE"""),"Spring 2021")</f>
        <v>Spring 2021</v>
      </c>
      <c r="D21" s="5" t="str">
        <f ca="1">IFERROR(__xludf.DUMMYFUNCTION("""COMPUTED_VALUE"""),"Required")</f>
        <v>Required</v>
      </c>
      <c r="E21" s="5" t="str">
        <f ca="1">IFERROR(__xludf.DUMMYFUNCTION("""COMPUTED_VALUE"""),"Burton Throckmorton")</f>
        <v>Burton Throckmorton</v>
      </c>
      <c r="F21" s="5" t="str">
        <f ca="1">IFERROR(__xludf.DUMMYFUNCTION("""COMPUTED_VALUE"""),"Gospel Parallels: A Comparison of the Synoptic Gospels, New Revised Standard Version")</f>
        <v>Gospel Parallels: A Comparison of the Synoptic Gospels, New Revised Standard Version</v>
      </c>
      <c r="G21" s="5" t="str">
        <f ca="1">IFERROR(__xludf.DUMMYFUNCTION("""COMPUTED_VALUE"""),"Thomas Nelson")</f>
        <v>Thomas Nelson</v>
      </c>
      <c r="H21" s="5">
        <f ca="1">IFERROR(__xludf.DUMMYFUNCTION("""COMPUTED_VALUE"""),1992)</f>
        <v>1992</v>
      </c>
      <c r="I21" s="5" t="str">
        <f ca="1">IFERROR(__xludf.DUMMYFUNCTION("""COMPUTED_VALUE"""),"5th Revised Edition")</f>
        <v>5th Revised Edition</v>
      </c>
      <c r="J21" s="5" t="str">
        <f ca="1">IFERROR(__xludf.DUMMYFUNCTION("""COMPUTED_VALUE"""),"978-0-8407-7484-2")</f>
        <v>978-0-8407-7484-2</v>
      </c>
      <c r="K21" s="5" t="str">
        <f ca="1">IFERROR(__xludf.DUMMYFUNCTION("""COMPUTED_VALUE"""),"$24.92")</f>
        <v>$24.92</v>
      </c>
      <c r="L21" s="5" t="str">
        <f ca="1">IFERROR(__xludf.DUMMYFUNCTION("""COMPUTED_VALUE"""),"")</f>
        <v/>
      </c>
    </row>
    <row r="22" spans="1:12" ht="15.75" customHeight="1" x14ac:dyDescent="0.2">
      <c r="A22" s="5" t="str">
        <f ca="1">IFERROR(__xludf.DUMMYFUNCTION("""COMPUTED_VALUE"""),"NT 1313:  Gospel and Acts")</f>
        <v>NT 1313:  Gospel and Acts</v>
      </c>
      <c r="B22" s="5" t="str">
        <f ca="1">IFERROR(__xludf.DUMMYFUNCTION("""COMPUTED_VALUE"""),"Garret, S. &amp; Hong, S.")</f>
        <v>Garret, S. &amp; Hong, S.</v>
      </c>
      <c r="C22" s="5" t="str">
        <f ca="1">IFERROR(__xludf.DUMMYFUNCTION("""COMPUTED_VALUE"""),"Spring 2021")</f>
        <v>Spring 2021</v>
      </c>
      <c r="D22" s="5" t="str">
        <f ca="1">IFERROR(__xludf.DUMMYFUNCTION("""COMPUTED_VALUE"""),"Required")</f>
        <v>Required</v>
      </c>
      <c r="E22" s="5" t="str">
        <f ca="1">IFERROR(__xludf.DUMMYFUNCTION("""COMPUTED_VALUE"""),"Raymond E. Brown, with Marion L. Soards")</f>
        <v>Raymond E. Brown, with Marion L. Soards</v>
      </c>
      <c r="F22" s="5" t="str">
        <f ca="1">IFERROR(__xludf.DUMMYFUNCTION("""COMPUTED_VALUE"""),"An Introduction to the New Testament: The Abridged Edition")</f>
        <v>An Introduction to the New Testament: The Abridged Edition</v>
      </c>
      <c r="G22" s="5" t="str">
        <f ca="1">IFERROR(__xludf.DUMMYFUNCTION("""COMPUTED_VALUE"""),"Yale University Press")</f>
        <v>Yale University Press</v>
      </c>
      <c r="H22" s="5">
        <f ca="1">IFERROR(__xludf.DUMMYFUNCTION("""COMPUTED_VALUE"""),2016)</f>
        <v>2016</v>
      </c>
      <c r="I22" s="5" t="str">
        <f ca="1">IFERROR(__xludf.DUMMYFUNCTION("""COMPUTED_VALUE"""),"Abridged edition")</f>
        <v>Abridged edition</v>
      </c>
      <c r="J22" s="5" t="str">
        <f ca="1">IFERROR(__xludf.DUMMYFUNCTION("""COMPUTED_VALUE"""),"978-0300173123")</f>
        <v>978-0300173123</v>
      </c>
      <c r="K22" s="5" t="str">
        <f ca="1">IFERROR(__xludf.DUMMYFUNCTION("""COMPUTED_VALUE"""),"$28.00")</f>
        <v>$28.00</v>
      </c>
      <c r="L22" s="5" t="str">
        <f ca="1">IFERROR(__xludf.DUMMYFUNCTION("""COMPUTED_VALUE"""),"")</f>
        <v/>
      </c>
    </row>
    <row r="23" spans="1:12" ht="15.75" customHeight="1" x14ac:dyDescent="0.2">
      <c r="A23" s="5" t="str">
        <f ca="1">IFERROR(__xludf.DUMMYFUNCTION("""COMPUTED_VALUE"""),"NT 1313:  Gospel and Acts")</f>
        <v>NT 1313:  Gospel and Acts</v>
      </c>
      <c r="B23" s="5" t="str">
        <f ca="1">IFERROR(__xludf.DUMMYFUNCTION("""COMPUTED_VALUE"""),"Garret, S. &amp; Hong, S.")</f>
        <v>Garret, S. &amp; Hong, S.</v>
      </c>
      <c r="C23" s="5" t="str">
        <f ca="1">IFERROR(__xludf.DUMMYFUNCTION("""COMPUTED_VALUE"""),"Spring 2021")</f>
        <v>Spring 2021</v>
      </c>
      <c r="D23" s="5" t="str">
        <f ca="1">IFERROR(__xludf.DUMMYFUNCTION("""COMPUTED_VALUE"""),"Option for additional required text")</f>
        <v>Option for additional required text</v>
      </c>
      <c r="E23" s="5" t="str">
        <f ca="1">IFERROR(__xludf.DUMMYFUNCTION("""COMPUTED_VALUE"""),"Harold W. Attridge, Society of Biblical Literature")</f>
        <v>Harold W. Attridge, Society of Biblical Literature</v>
      </c>
      <c r="F23" s="5" t="str">
        <f ca="1">IFERROR(__xludf.DUMMYFUNCTION("""COMPUTED_VALUE"""),"The HarperCollins Study Bible")</f>
        <v>The HarperCollins Study Bible</v>
      </c>
      <c r="G23" s="5" t="str">
        <f ca="1">IFERROR(__xludf.DUMMYFUNCTION("""COMPUTED_VALUE"""),"HarperOne")</f>
        <v>HarperOne</v>
      </c>
      <c r="H23" s="5">
        <f ca="1">IFERROR(__xludf.DUMMYFUNCTION("""COMPUTED_VALUE"""),2006)</f>
        <v>2006</v>
      </c>
      <c r="I23" s="5" t="str">
        <f ca="1">IFERROR(__xludf.DUMMYFUNCTION("""COMPUTED_VALUE"""),"Revised and Updated Edition")</f>
        <v>Revised and Updated Edition</v>
      </c>
      <c r="J23" s="5" t="s">
        <v>20</v>
      </c>
      <c r="K23" s="5" t="str">
        <f ca="1">IFERROR(__xludf.DUMMYFUNCTION("""COMPUTED_VALUE"""),"$39.99 / $26.64")</f>
        <v>$39.99 / $26.64</v>
      </c>
      <c r="L23" s="5" t="str">
        <f ca="1">IFERROR(__xludf.DUMMYFUNCTION("""COMPUTED_VALUE"""),"")</f>
        <v/>
      </c>
    </row>
    <row r="24" spans="1:12" ht="15.75" customHeight="1" x14ac:dyDescent="0.2">
      <c r="A24" s="5" t="str">
        <f ca="1">IFERROR(__xludf.DUMMYFUNCTION("""COMPUTED_VALUE"""),"NT 1313:  Gospel and Acts")</f>
        <v>NT 1313:  Gospel and Acts</v>
      </c>
      <c r="B24" s="5" t="str">
        <f ca="1">IFERROR(__xludf.DUMMYFUNCTION("""COMPUTED_VALUE"""),"Garret, S. &amp; Hong, S.")</f>
        <v>Garret, S. &amp; Hong, S.</v>
      </c>
      <c r="C24" s="5" t="str">
        <f ca="1">IFERROR(__xludf.DUMMYFUNCTION("""COMPUTED_VALUE"""),"Spring 2021")</f>
        <v>Spring 2021</v>
      </c>
      <c r="D24" s="5" t="str">
        <f ca="1">IFERROR(__xludf.DUMMYFUNCTION("""COMPUTED_VALUE"""),"Option for additional required text")</f>
        <v>Option for additional required text</v>
      </c>
      <c r="E24" s="5" t="str">
        <f ca="1">IFERROR(__xludf.DUMMYFUNCTION("""COMPUTED_VALUE"""),"Michael Coogan, Marc Brettler, Carol Newsom, Pheme Perkins, eds.")</f>
        <v>Michael Coogan, Marc Brettler, Carol Newsom, Pheme Perkins, eds.</v>
      </c>
      <c r="F24" s="5" t="str">
        <f ca="1">IFERROR(__xludf.DUMMYFUNCTION("""COMPUTED_VALUE"""),"The New Oxford Annotated Bible")</f>
        <v>The New Oxford Annotated Bible</v>
      </c>
      <c r="G24" s="5" t="str">
        <f ca="1">IFERROR(__xludf.DUMMYFUNCTION("""COMPUTED_VALUE"""),"Oxford University Press")</f>
        <v>Oxford University Press</v>
      </c>
      <c r="H24" s="5">
        <f ca="1">IFERROR(__xludf.DUMMYFUNCTION("""COMPUTED_VALUE"""),2015)</f>
        <v>2015</v>
      </c>
      <c r="I24" s="5" t="str">
        <f ca="1">IFERROR(__xludf.DUMMYFUNCTION("""COMPUTED_VALUE"""),"5th edition")</f>
        <v>5th edition</v>
      </c>
      <c r="J24" s="5" t="s">
        <v>21</v>
      </c>
      <c r="K24" s="5" t="str">
        <f ca="1">IFERROR(__xludf.DUMMYFUNCTION("""COMPUTED_VALUE"""),"$42.00 / $34.27")</f>
        <v>$42.00 / $34.27</v>
      </c>
      <c r="L24" s="5" t="str">
        <f ca="1">IFERROR(__xludf.DUMMYFUNCTION("""COMPUTED_VALUE"""),"")</f>
        <v/>
      </c>
    </row>
    <row r="25" spans="1:12" ht="15.75" customHeight="1" x14ac:dyDescent="0.2">
      <c r="A25" s="5" t="str">
        <f ca="1">IFERROR(__xludf.DUMMYFUNCTION("""COMPUTED_VALUE"""),"NT 1313:  Gospel and Acts")</f>
        <v>NT 1313:  Gospel and Acts</v>
      </c>
      <c r="B25" s="5" t="str">
        <f ca="1">IFERROR(__xludf.DUMMYFUNCTION("""COMPUTED_VALUE"""),"Garret, S. &amp; Hong, S.")</f>
        <v>Garret, S. &amp; Hong, S.</v>
      </c>
      <c r="C25" s="5" t="str">
        <f ca="1">IFERROR(__xludf.DUMMYFUNCTION("""COMPUTED_VALUE"""),"Spring 2021")</f>
        <v>Spring 2021</v>
      </c>
      <c r="D25" s="5" t="str">
        <f ca="1">IFERROR(__xludf.DUMMYFUNCTION("""COMPUTED_VALUE"""),"Option for additional required text")</f>
        <v>Option for additional required text</v>
      </c>
      <c r="E25" s="5" t="str">
        <f ca="1">IFERROR(__xludf.DUMMYFUNCTION("""COMPUTED_VALUE"""),"Walter Harrelson")</f>
        <v>Walter Harrelson</v>
      </c>
      <c r="F25" s="5" t="str">
        <f ca="1">IFERROR(__xludf.DUMMYFUNCTION("""COMPUTED_VALUE"""),"The New Interpreter's Study Bible")</f>
        <v>The New Interpreter's Study Bible</v>
      </c>
      <c r="G25" s="5" t="str">
        <f ca="1">IFERROR(__xludf.DUMMYFUNCTION("""COMPUTED_VALUE"""),"Abingdon PRess")</f>
        <v>Abingdon PRess</v>
      </c>
      <c r="H25" s="5">
        <f ca="1">IFERROR(__xludf.DUMMYFUNCTION("""COMPUTED_VALUE"""),2003)</f>
        <v>2003</v>
      </c>
      <c r="I25" s="5" t="str">
        <f ca="1">IFERROR(__xludf.DUMMYFUNCTION("""COMPUTED_VALUE"""),"Revised ed.")</f>
        <v>Revised ed.</v>
      </c>
      <c r="J25" s="5" t="str">
        <f ca="1">IFERROR(__xludf.DUMMYFUNCTION("""COMPUTED_VALUE"""),"978-0687278329")</f>
        <v>978-0687278329</v>
      </c>
      <c r="K25" s="5" t="str">
        <f ca="1">IFERROR(__xludf.DUMMYFUNCTION("""COMPUTED_VALUE"""),"$49.99 / $38.99")</f>
        <v>$49.99 / $38.99</v>
      </c>
      <c r="L25" s="5" t="str">
        <f ca="1">IFERROR(__xludf.DUMMYFUNCTION("""COMPUTED_VALUE"""),"")</f>
        <v/>
      </c>
    </row>
    <row r="26" spans="1:12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 customHeight="1" x14ac:dyDescent="0.2">
      <c r="A27" s="5" t="str">
        <f ca="1">IFERROR(__xludf.DUMMYFUNCTION("""COMPUTED_VALUE"""),"NT 2023:  Exegesis of Mark")</f>
        <v>NT 2023:  Exegesis of Mark</v>
      </c>
      <c r="B27" s="5" t="str">
        <f ca="1">IFERROR(__xludf.DUMMYFUNCTION("""COMPUTED_VALUE"""),"Hong, S.")</f>
        <v>Hong, S.</v>
      </c>
      <c r="C27" s="5" t="str">
        <f ca="1">IFERROR(__xludf.DUMMYFUNCTION("""COMPUTED_VALUE"""),"Spring 2021")</f>
        <v>Spring 2021</v>
      </c>
      <c r="D27" s="5" t="str">
        <f ca="1">IFERROR(__xludf.DUMMYFUNCTION("""COMPUTED_VALUE"""),"Required")</f>
        <v>Required</v>
      </c>
      <c r="E27" s="5" t="str">
        <f ca="1">IFERROR(__xludf.DUMMYFUNCTION("""COMPUTED_VALUE""")," John R. Donahue and Daniel J. Harrington ")</f>
        <v xml:space="preserve"> John R. Donahue and Daniel J. Harrington </v>
      </c>
      <c r="F27" s="5" t="str">
        <f ca="1">IFERROR(__xludf.DUMMYFUNCTION("""COMPUTED_VALUE"""),"The Gospel of Mark")</f>
        <v>The Gospel of Mark</v>
      </c>
      <c r="G27" s="5" t="str">
        <f ca="1">IFERROR(__xludf.DUMMYFUNCTION("""COMPUTED_VALUE"""),"The Liturgical Press")</f>
        <v>The Liturgical Press</v>
      </c>
      <c r="H27" s="5">
        <f ca="1">IFERROR(__xludf.DUMMYFUNCTION("""COMPUTED_VALUE"""),2002)</f>
        <v>2002</v>
      </c>
      <c r="I27" s="5" t="str">
        <f ca="1">IFERROR(__xludf.DUMMYFUNCTION("""COMPUTED_VALUE"""),"first ed.")</f>
        <v>first ed.</v>
      </c>
      <c r="J27" s="5" t="str">
        <f ca="1">IFERROR(__xludf.DUMMYFUNCTION("""COMPUTED_VALUE"""),"0814659659")</f>
        <v>0814659659</v>
      </c>
      <c r="K27" s="5" t="str">
        <f ca="1">IFERROR(__xludf.DUMMYFUNCTION("""COMPUTED_VALUE"""),"$24.49/$22.18")</f>
        <v>$24.49/$22.18</v>
      </c>
      <c r="L27" s="5"/>
    </row>
    <row r="28" spans="1:12" ht="14.25" x14ac:dyDescent="0.2">
      <c r="A28" s="5" t="str">
        <f ca="1">IFERROR(__xludf.DUMMYFUNCTION("""COMPUTED_VALUE"""),"NT 2023:  Exegesis of Mark")</f>
        <v>NT 2023:  Exegesis of Mark</v>
      </c>
      <c r="B28" s="5" t="str">
        <f ca="1">IFERROR(__xludf.DUMMYFUNCTION("""COMPUTED_VALUE"""),"Hong, S.")</f>
        <v>Hong, S.</v>
      </c>
      <c r="C28" s="5" t="str">
        <f ca="1">IFERROR(__xludf.DUMMYFUNCTION("""COMPUTED_VALUE"""),"Spring 2021")</f>
        <v>Spring 2021</v>
      </c>
      <c r="D28" s="5" t="str">
        <f ca="1">IFERROR(__xludf.DUMMYFUNCTION("""COMPUTED_VALUE"""),"Required")</f>
        <v>Required</v>
      </c>
      <c r="E28" s="5" t="str">
        <f ca="1">IFERROR(__xludf.DUMMYFUNCTION("""COMPUTED_VALUE"""),"Janice Capel Anderson and Stephen D. Moore, eds.")</f>
        <v>Janice Capel Anderson and Stephen D. Moore, eds.</v>
      </c>
      <c r="F28" s="5" t="str">
        <f ca="1">IFERROR(__xludf.DUMMYFUNCTION("""COMPUTED_VALUE"""),"Mark and Method: New Approaches in Biblical Studies")</f>
        <v>Mark and Method: New Approaches in Biblical Studies</v>
      </c>
      <c r="G28" s="5" t="str">
        <f ca="1">IFERROR(__xludf.DUMMYFUNCTION("""COMPUTED_VALUE"""),"Fortress")</f>
        <v>Fortress</v>
      </c>
      <c r="H28" s="5">
        <f ca="1">IFERROR(__xludf.DUMMYFUNCTION("""COMPUTED_VALUE"""),2008)</f>
        <v>2008</v>
      </c>
      <c r="I28" s="5" t="str">
        <f ca="1">IFERROR(__xludf.DUMMYFUNCTION("""COMPUTED_VALUE"""),"2nd ed.")</f>
        <v>2nd ed.</v>
      </c>
      <c r="J28" s="5" t="str">
        <f ca="1">IFERROR(__xludf.DUMMYFUNCTION("""COMPUTED_VALUE"""),"0800638514")</f>
        <v>0800638514</v>
      </c>
      <c r="K28" s="5" t="str">
        <f ca="1">IFERROR(__xludf.DUMMYFUNCTION("""COMPUTED_VALUE"""),"$25.98/$25.98")</f>
        <v>$25.98/$25.98</v>
      </c>
      <c r="L28" s="5"/>
    </row>
    <row r="29" spans="1:12" x14ac:dyDescent="0.25">
      <c r="A29" s="5" t="str">
        <f ca="1">IFERROR(__xludf.DUMMYFUNCTION("""COMPUTED_VALUE"""),"NT 2023:  Exegesis of Mark")</f>
        <v>NT 2023:  Exegesis of Mark</v>
      </c>
      <c r="B29" s="5" t="str">
        <f ca="1">IFERROR(__xludf.DUMMYFUNCTION("""COMPUTED_VALUE"""),"Hong, S.")</f>
        <v>Hong, S.</v>
      </c>
      <c r="C29" s="5" t="str">
        <f ca="1">IFERROR(__xludf.DUMMYFUNCTION("""COMPUTED_VALUE"""),"Spring 2021")</f>
        <v>Spring 2021</v>
      </c>
      <c r="D29" s="5" t="str">
        <f ca="1">IFERROR(__xludf.DUMMYFUNCTION("""COMPUTED_VALUE"""),"Required")</f>
        <v>Required</v>
      </c>
      <c r="E29" s="24" t="s">
        <v>70</v>
      </c>
      <c r="F29" s="24" t="s">
        <v>69</v>
      </c>
      <c r="G29" s="25" t="s">
        <v>71</v>
      </c>
      <c r="H29" s="5">
        <v>2008</v>
      </c>
      <c r="I29" s="5"/>
      <c r="J29" s="26" t="s">
        <v>72</v>
      </c>
      <c r="K29" s="27" t="s">
        <v>73</v>
      </c>
      <c r="L29" s="5"/>
    </row>
    <row r="30" spans="1:12" ht="14.25" x14ac:dyDescent="0.2">
      <c r="A30" s="5" t="str">
        <f ca="1">IFERROR(__xludf.DUMMYFUNCTION("""COMPUTED_VALUE"""),"NT: 2023:  Exegesis of Mark")</f>
        <v>NT: 2023:  Exegesis of Mark</v>
      </c>
      <c r="B30" s="5" t="str">
        <f ca="1">IFERROR(__xludf.DUMMYFUNCTION("""COMPUTED_VALUE"""),"Hong, S.")</f>
        <v>Hong, S.</v>
      </c>
      <c r="C30" s="5" t="str">
        <f ca="1">IFERROR(__xludf.DUMMYFUNCTION("""COMPUTED_VALUE"""),"Spring 2021")</f>
        <v>Spring 2021</v>
      </c>
      <c r="D30" s="5" t="str">
        <f ca="1">IFERROR(__xludf.DUMMYFUNCTION("""COMPUTED_VALUE"""),"Recommended")</f>
        <v>Recommended</v>
      </c>
      <c r="E30" s="5" t="str">
        <f ca="1">IFERROR(__xludf.DUMMYFUNCTION("""COMPUTED_VALUE"""),"Gordon D. Fee")</f>
        <v>Gordon D. Fee</v>
      </c>
      <c r="F30" s="5" t="str">
        <f ca="1">IFERROR(__xludf.DUMMYFUNCTION("""COMPUTED_VALUE"""),"New Testament Exegesis: A Handbook for Students and Pastors")</f>
        <v>New Testament Exegesis: A Handbook for Students and Pastors</v>
      </c>
      <c r="G30" s="5" t="str">
        <f ca="1">IFERROR(__xludf.DUMMYFUNCTION("""COMPUTED_VALUE"""),"Westminster John Knox Press")</f>
        <v>Westminster John Knox Press</v>
      </c>
      <c r="H30" s="5">
        <f ca="1">IFERROR(__xludf.DUMMYFUNCTION("""COMPUTED_VALUE"""),2002)</f>
        <v>2002</v>
      </c>
      <c r="I30" s="5" t="str">
        <f ca="1">IFERROR(__xludf.DUMMYFUNCTION("""COMPUTED_VALUE"""),"3rd edition")</f>
        <v>3rd edition</v>
      </c>
      <c r="J30" s="5" t="str">
        <f ca="1">IFERROR(__xludf.DUMMYFUNCTION("""COMPUTED_VALUE"""),"978-0664223168")</f>
        <v>978-0664223168</v>
      </c>
      <c r="K30" s="5" t="str">
        <f ca="1">IFERROR(__xludf.DUMMYFUNCTION("""COMPUTED_VALUE"""),"$27.00 / $17.39")</f>
        <v>$27.00 / $17.39</v>
      </c>
      <c r="L30" s="5" t="str">
        <f ca="1">IFERROR(__xludf.DUMMYFUNCTION("""COMPUTED_VALUE"""),"")</f>
        <v/>
      </c>
    </row>
    <row r="31" spans="1:12" ht="14.25" x14ac:dyDescent="0.2">
      <c r="A31" s="5" t="str">
        <f ca="1">IFERROR(__xludf.DUMMYFUNCTION("""COMPUTED_VALUE"""),"NT: 2023:  Exegesis of Mark")</f>
        <v>NT: 2023:  Exegesis of Mark</v>
      </c>
      <c r="B31" s="5" t="str">
        <f ca="1">IFERROR(__xludf.DUMMYFUNCTION("""COMPUTED_VALUE"""),"Hong, S.")</f>
        <v>Hong, S.</v>
      </c>
      <c r="C31" s="5" t="str">
        <f ca="1">IFERROR(__xludf.DUMMYFUNCTION("""COMPUTED_VALUE"""),"Spring 2021")</f>
        <v>Spring 2021</v>
      </c>
      <c r="D31" s="5" t="str">
        <f ca="1">IFERROR(__xludf.DUMMYFUNCTION("""COMPUTED_VALUE"""),"Recommended")</f>
        <v>Recommended</v>
      </c>
      <c r="E31" s="5" t="str">
        <f ca="1">IFERROR(__xludf.DUMMYFUNCTION("""COMPUTED_VALUE"""),"Peter Barry")</f>
        <v>Peter Barry</v>
      </c>
      <c r="F31" s="5" t="str">
        <f ca="1">IFERROR(__xludf.DUMMYFUNCTION("""COMPUTED_VALUE"""),"Beginning Theory: An Introduction to Literary and Cultural Theory")</f>
        <v>Beginning Theory: An Introduction to Literary and Cultural Theory</v>
      </c>
      <c r="G31" s="5" t="str">
        <f ca="1">IFERROR(__xludf.DUMMYFUNCTION("""COMPUTED_VALUE"""),"Manchester University Press")</f>
        <v>Manchester University Press</v>
      </c>
      <c r="H31" s="5">
        <f ca="1">IFERROR(__xludf.DUMMYFUNCTION("""COMPUTED_VALUE"""),2017)</f>
        <v>2017</v>
      </c>
      <c r="I31" s="5" t="str">
        <f ca="1">IFERROR(__xludf.DUMMYFUNCTION("""COMPUTED_VALUE"""),"1st edition")</f>
        <v>1st edition</v>
      </c>
      <c r="J31" s="5" t="str">
        <f ca="1">IFERROR(__xludf.DUMMYFUNCTION("""COMPUTED_VALUE"""),"978-1526121790")</f>
        <v>978-1526121790</v>
      </c>
      <c r="K31" s="5" t="str">
        <f ca="1">IFERROR(__xludf.DUMMYFUNCTION("""COMPUTED_VALUE"""),"$21.95 / $17.95")</f>
        <v>$21.95 / $17.95</v>
      </c>
      <c r="L31" s="5" t="str">
        <f ca="1">IFERROR(__xludf.DUMMYFUNCTION("""COMPUTED_VALUE"""),"")</f>
        <v/>
      </c>
    </row>
    <row r="32" spans="1:12" ht="14.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14.25" x14ac:dyDescent="0.2">
      <c r="A33" s="5" t="str">
        <f ca="1">IFERROR(__xludf.DUMMYFUNCTION("""COMPUTED_VALUE"""),"OT 1013:  Elements of Biblical Hebrew")</f>
        <v>OT 1013:  Elements of Biblical Hebrew</v>
      </c>
      <c r="B33" s="5" t="str">
        <f ca="1">IFERROR(__xludf.DUMMYFUNCTION("""COMPUTED_VALUE"""),"Reed, J.")</f>
        <v>Reed, J.</v>
      </c>
      <c r="C33" s="5" t="str">
        <f ca="1">IFERROR(__xludf.DUMMYFUNCTION("""COMPUTED_VALUE"""),"Spring 2021")</f>
        <v>Spring 2021</v>
      </c>
      <c r="D33" s="5" t="str">
        <f ca="1">IFERROR(__xludf.DUMMYFUNCTION("""COMPUTED_VALUE"""),"Required")</f>
        <v>Required</v>
      </c>
      <c r="E33" s="5" t="str">
        <f ca="1">IFERROR(__xludf.DUMMYFUNCTION("""COMPUTED_VALUE"""),"Jo Ann Hackett")</f>
        <v>Jo Ann Hackett</v>
      </c>
      <c r="F33" s="5" t="str">
        <f ca="1">IFERROR(__xludf.DUMMYFUNCTION("""COMPUTED_VALUE"""),"A Basic Introduction to Biblical Hebrew")</f>
        <v>A Basic Introduction to Biblical Hebrew</v>
      </c>
      <c r="G33" s="5" t="str">
        <f ca="1">IFERROR(__xludf.DUMMYFUNCTION("""COMPUTED_VALUE"""),"Hendrickson")</f>
        <v>Hendrickson</v>
      </c>
      <c r="H33" s="5">
        <f ca="1">IFERROR(__xludf.DUMMYFUNCTION("""COMPUTED_VALUE"""),2010)</f>
        <v>2010</v>
      </c>
      <c r="I33" s="5" t="str">
        <f ca="1">IFERROR(__xludf.DUMMYFUNCTION("""COMPUTED_VALUE"""),"not sure")</f>
        <v>not sure</v>
      </c>
      <c r="J33" s="5" t="str">
        <f ca="1">IFERROR(__xludf.DUMMYFUNCTION("""COMPUTED_VALUE"""),"978-1598560282")</f>
        <v>978-1598560282</v>
      </c>
      <c r="K33" s="5" t="s">
        <v>22</v>
      </c>
      <c r="L33" s="5" t="str">
        <f ca="1">IFERROR(__xludf.DUMMYFUNCTION("""COMPUTED_VALUE"""),"")</f>
        <v/>
      </c>
    </row>
    <row r="34" spans="1:14" ht="14.25" x14ac:dyDescent="0.2">
      <c r="A34" s="5" t="str">
        <f ca="1">IFERROR(__xludf.DUMMYFUNCTION("""COMPUTED_VALUE"""),"OT 1013:  Elements of Biblical Hebrew")</f>
        <v>OT 1013:  Elements of Biblical Hebrew</v>
      </c>
      <c r="B34" s="5" t="str">
        <f ca="1">IFERROR(__xludf.DUMMYFUNCTION("""COMPUTED_VALUE"""),"Reed, J.")</f>
        <v>Reed, J.</v>
      </c>
      <c r="C34" s="5" t="str">
        <f ca="1">IFERROR(__xludf.DUMMYFUNCTION("""COMPUTED_VALUE"""),"Spring 2021")</f>
        <v>Spring 2021</v>
      </c>
      <c r="D34" s="9" t="s">
        <v>0</v>
      </c>
      <c r="E34" s="9" t="s">
        <v>23</v>
      </c>
      <c r="F34" s="10" t="s">
        <v>24</v>
      </c>
      <c r="G34" s="9" t="s">
        <v>25</v>
      </c>
      <c r="H34" s="10">
        <v>1997</v>
      </c>
      <c r="I34" s="9" t="s">
        <v>26</v>
      </c>
      <c r="J34" s="11" t="s">
        <v>27</v>
      </c>
      <c r="K34" s="13" t="s">
        <v>28</v>
      </c>
      <c r="L34" s="6"/>
      <c r="M34" s="8"/>
      <c r="N34" s="7"/>
    </row>
    <row r="35" spans="1:14" ht="14.25" x14ac:dyDescent="0.2">
      <c r="A35" s="5" t="str">
        <f ca="1">IFERROR(__xludf.DUMMYFUNCTION("""COMPUTED_VALUE"""),"OT 1013:  Elements of Biblical Hebrew")</f>
        <v>OT 1013:  Elements of Biblical Hebrew</v>
      </c>
      <c r="B35" s="5" t="str">
        <f ca="1">IFERROR(__xludf.DUMMYFUNCTION("""COMPUTED_VALUE"""),"Reed, J.")</f>
        <v>Reed, J.</v>
      </c>
      <c r="C35" s="5" t="str">
        <f ca="1">IFERROR(__xludf.DUMMYFUNCTION("""COMPUTED_VALUE"""),"Spring 2021")</f>
        <v>Spring 2021</v>
      </c>
      <c r="D35" s="5" t="s">
        <v>29</v>
      </c>
      <c r="E35" s="9" t="s">
        <v>30</v>
      </c>
      <c r="F35" s="10" t="s">
        <v>31</v>
      </c>
      <c r="G35" s="9" t="s">
        <v>32</v>
      </c>
      <c r="H35" s="9">
        <v>1996</v>
      </c>
      <c r="I35" s="15"/>
      <c r="J35" s="11" t="s">
        <v>33</v>
      </c>
      <c r="K35" s="14" t="s">
        <v>34</v>
      </c>
      <c r="L35" s="5"/>
    </row>
    <row r="36" spans="1:14" ht="14.25" x14ac:dyDescent="0.2">
      <c r="A36" s="5" t="str">
        <f ca="1">IFERROR(__xludf.DUMMYFUNCTION("""COMPUTED_VALUE"""),"OT 1013:  Elements of Biblical Hebrew")</f>
        <v>OT 1013:  Elements of Biblical Hebrew</v>
      </c>
      <c r="B36" s="5" t="str">
        <f ca="1">IFERROR(__xludf.DUMMYFUNCTION("""COMPUTED_VALUE"""),"Reed, J.")</f>
        <v>Reed, J.</v>
      </c>
      <c r="C36" s="5" t="str">
        <f ca="1">IFERROR(__xludf.DUMMYFUNCTION("""COMPUTED_VALUE"""),"Spring 2021")</f>
        <v>Spring 2021</v>
      </c>
      <c r="D36" s="5" t="s">
        <v>35</v>
      </c>
      <c r="E36" s="9" t="s">
        <v>36</v>
      </c>
      <c r="F36" s="9" t="s">
        <v>37</v>
      </c>
      <c r="G36" s="9" t="s">
        <v>38</v>
      </c>
      <c r="H36" s="9">
        <v>1991</v>
      </c>
      <c r="I36" s="15"/>
      <c r="J36" s="11" t="s">
        <v>39</v>
      </c>
      <c r="K36" s="14" t="s">
        <v>40</v>
      </c>
      <c r="L36" s="5"/>
    </row>
    <row r="37" spans="1:14" ht="14.25" x14ac:dyDescent="0.2">
      <c r="A37" s="5" t="str">
        <f ca="1">IFERROR(__xludf.DUMMYFUNCTION("""COMPUTED_VALUE"""),"OT 1013:  Elements of Biblical Hebrew")</f>
        <v>OT 1013:  Elements of Biblical Hebrew</v>
      </c>
      <c r="B37" s="5" t="str">
        <f ca="1">IFERROR(__xludf.DUMMYFUNCTION("""COMPUTED_VALUE"""),"Reed, J.")</f>
        <v>Reed, J.</v>
      </c>
      <c r="C37" s="5" t="str">
        <f ca="1">IFERROR(__xludf.DUMMYFUNCTION("""COMPUTED_VALUE"""),"Spring 2021")</f>
        <v>Spring 2021</v>
      </c>
      <c r="D37" s="5" t="s">
        <v>41</v>
      </c>
      <c r="E37" s="10" t="s">
        <v>42</v>
      </c>
      <c r="F37" s="10" t="s">
        <v>43</v>
      </c>
      <c r="G37" s="9" t="s">
        <v>38</v>
      </c>
      <c r="H37" s="9">
        <v>2002</v>
      </c>
      <c r="I37" s="9" t="s">
        <v>44</v>
      </c>
      <c r="J37" s="12" t="s">
        <v>45</v>
      </c>
      <c r="K37" s="14">
        <v>314.68</v>
      </c>
      <c r="L37" s="5"/>
    </row>
    <row r="38" spans="1:14" ht="14.25" x14ac:dyDescent="0.2">
      <c r="A38" s="5" t="str">
        <f ca="1">IFERROR(__xludf.DUMMYFUNCTION("""COMPUTED_VALUE"""),"OT 1013:  Elements of Biblical Hebrew")</f>
        <v>OT 1013:  Elements of Biblical Hebrew</v>
      </c>
      <c r="B38" s="5" t="str">
        <f ca="1">IFERROR(__xludf.DUMMYFUNCTION("""COMPUTED_VALUE"""),"Reed, J.")</f>
        <v>Reed, J.</v>
      </c>
      <c r="C38" s="5" t="str">
        <f ca="1">IFERROR(__xludf.DUMMYFUNCTION("""COMPUTED_VALUE"""),"Spring 2021")</f>
        <v>Spring 2021</v>
      </c>
      <c r="D38" s="5" t="s">
        <v>46</v>
      </c>
      <c r="F38" s="16" t="s">
        <v>47</v>
      </c>
      <c r="G38" s="9" t="s">
        <v>48</v>
      </c>
      <c r="H38" s="9">
        <v>2001</v>
      </c>
      <c r="I38" s="9"/>
      <c r="J38" s="16" t="s">
        <v>49</v>
      </c>
      <c r="K38" s="14" t="s">
        <v>50</v>
      </c>
      <c r="L38" s="5"/>
    </row>
    <row r="39" spans="1:14" ht="14.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4" ht="14.25" x14ac:dyDescent="0.2">
      <c r="A40" s="5" t="str">
        <f ca="1">IFERROR(__xludf.DUMMYFUNCTION("""COMPUTED_VALUE"""),"OT 1323:  Latter Prophets and Writings")</f>
        <v>OT 1323:  Latter Prophets and Writings</v>
      </c>
      <c r="B40" s="5" t="str">
        <f ca="1">IFERROR(__xludf.DUMMYFUNCTION("""COMPUTED_VALUE"""),"Mayfield, T.")</f>
        <v>Mayfield, T.</v>
      </c>
      <c r="C40" s="5" t="str">
        <f ca="1">IFERROR(__xludf.DUMMYFUNCTION("""COMPUTED_VALUE"""),"Spring 2021")</f>
        <v>Spring 2021</v>
      </c>
      <c r="D40" s="5" t="s">
        <v>51</v>
      </c>
      <c r="E40" s="5" t="str">
        <f ca="1">IFERROR(__xludf.DUMMYFUNCTION("""COMPUTED_VALUE"""),"Walter Harrelson, ed.")</f>
        <v>Walter Harrelson, ed.</v>
      </c>
      <c r="F40" s="5" t="str">
        <f ca="1">IFERROR(__xludf.DUMMYFUNCTION("""COMPUTED_VALUE"""),"The New Interpreter's Study Bible: New Revised Standard Version with the Apocrypha")</f>
        <v>The New Interpreter's Study Bible: New Revised Standard Version with the Apocrypha</v>
      </c>
      <c r="G40" s="5" t="str">
        <f ca="1">IFERROR(__xludf.DUMMYFUNCTION("""COMPUTED_VALUE"""),"Abingdon")</f>
        <v>Abingdon</v>
      </c>
      <c r="H40" s="5">
        <f ca="1">IFERROR(__xludf.DUMMYFUNCTION("""COMPUTED_VALUE"""),2003)</f>
        <v>2003</v>
      </c>
      <c r="I40" s="5" t="str">
        <f ca="1">IFERROR(__xludf.DUMMYFUNCTION("""COMPUTED_VALUE"""),"Revised Edition")</f>
        <v>Revised Edition</v>
      </c>
      <c r="J40" s="5" t="str">
        <f ca="1">IFERROR(__xludf.DUMMYFUNCTION("""COMPUTED_VALUE"""),"978-0687278329")</f>
        <v>978-0687278329</v>
      </c>
      <c r="K40" s="5" t="str">
        <f ca="1">IFERROR(__xludf.DUMMYFUNCTION("""COMPUTED_VALUE"""),"$49.99 / $44.99")</f>
        <v>$49.99 / $44.99</v>
      </c>
      <c r="L40" s="5" t="str">
        <f ca="1">IFERROR(__xludf.DUMMYFUNCTION("""COMPUTED_VALUE"""),"")</f>
        <v/>
      </c>
    </row>
    <row r="41" spans="1:14" ht="14.25" x14ac:dyDescent="0.2">
      <c r="A41" s="5" t="str">
        <f ca="1">IFERROR(__xludf.DUMMYFUNCTION("""COMPUTED_VALUE"""),"OT 1323:  Latter Prophets and Writings")</f>
        <v>OT 1323:  Latter Prophets and Writings</v>
      </c>
      <c r="B41" s="5" t="str">
        <f ca="1">IFERROR(__xludf.DUMMYFUNCTION("""COMPUTED_VALUE"""),"Mayfield, T.")</f>
        <v>Mayfield, T.</v>
      </c>
      <c r="C41" s="5" t="str">
        <f ca="1">IFERROR(__xludf.DUMMYFUNCTION("""COMPUTED_VALUE"""),"Spring 2021")</f>
        <v>Spring 2021</v>
      </c>
      <c r="D41" s="5" t="s">
        <v>51</v>
      </c>
      <c r="E41" s="18" t="s">
        <v>52</v>
      </c>
      <c r="F41" s="16" t="s">
        <v>53</v>
      </c>
      <c r="G41" s="4" t="s">
        <v>54</v>
      </c>
      <c r="H41" s="18">
        <v>2015</v>
      </c>
      <c r="I41" s="18" t="s">
        <v>55</v>
      </c>
      <c r="J41" s="21" t="s">
        <v>21</v>
      </c>
      <c r="K41" s="20" t="s">
        <v>56</v>
      </c>
      <c r="L41" s="17"/>
      <c r="M41" s="17"/>
    </row>
    <row r="42" spans="1:14" ht="14.25" x14ac:dyDescent="0.2">
      <c r="A42" s="5" t="str">
        <f ca="1">IFERROR(__xludf.DUMMYFUNCTION("""COMPUTED_VALUE"""),"OT 1323:  Latter Prophets and Writings")</f>
        <v>OT 1323:  Latter Prophets and Writings</v>
      </c>
      <c r="B42" s="5" t="str">
        <f ca="1">IFERROR(__xludf.DUMMYFUNCTION("""COMPUTED_VALUE"""),"Mayfield, T.")</f>
        <v>Mayfield, T.</v>
      </c>
      <c r="C42" s="5" t="str">
        <f ca="1">IFERROR(__xludf.DUMMYFUNCTION("""COMPUTED_VALUE"""),"Spring 2021")</f>
        <v>Spring 2021</v>
      </c>
      <c r="D42" s="5" t="s">
        <v>51</v>
      </c>
      <c r="E42" s="18" t="s">
        <v>57</v>
      </c>
      <c r="F42" s="16" t="s">
        <v>58</v>
      </c>
      <c r="G42" s="18" t="s">
        <v>59</v>
      </c>
      <c r="H42" s="18">
        <v>2006</v>
      </c>
      <c r="I42" s="18" t="s">
        <v>60</v>
      </c>
      <c r="J42" s="19" t="s">
        <v>20</v>
      </c>
      <c r="K42" s="20" t="s">
        <v>61</v>
      </c>
      <c r="L42" s="5"/>
    </row>
    <row r="43" spans="1:14" ht="14.25" x14ac:dyDescent="0.2">
      <c r="A43" s="5" t="str">
        <f ca="1">IFERROR(__xludf.DUMMYFUNCTION("""COMPUTED_VALUE"""),"OT 1323:  Latter Prophets and Writings")</f>
        <v>OT 1323:  Latter Prophets and Writings</v>
      </c>
      <c r="B43" s="5" t="str">
        <f ca="1">IFERROR(__xludf.DUMMYFUNCTION("""COMPUTED_VALUE"""),"Mayfield, T.")</f>
        <v>Mayfield, T.</v>
      </c>
      <c r="C43" s="5" t="str">
        <f ca="1">IFERROR(__xludf.DUMMYFUNCTION("""COMPUTED_VALUE"""),"Spring 2021")</f>
        <v>Spring 2021</v>
      </c>
      <c r="D43" s="5" t="str">
        <f ca="1">IFERROR(__xludf.DUMMYFUNCTION("""COMPUTED_VALUE"""),"Required")</f>
        <v>Required</v>
      </c>
      <c r="E43" s="5" t="str">
        <f ca="1">IFERROR(__xludf.DUMMYFUNCTION("""COMPUTED_VALUE"""),"Ellen F. Davis")</f>
        <v>Ellen F. Davis</v>
      </c>
      <c r="F43" s="5" t="str">
        <f ca="1">IFERROR(__xludf.DUMMYFUNCTION("""COMPUTED_VALUE"""),"Opening Israel's Scriptures")</f>
        <v>Opening Israel's Scriptures</v>
      </c>
      <c r="G43" s="5" t="str">
        <f ca="1">IFERROR(__xludf.DUMMYFUNCTION("""COMPUTED_VALUE"""),"Oxford University Press")</f>
        <v>Oxford University Press</v>
      </c>
      <c r="H43" s="5">
        <f ca="1">IFERROR(__xludf.DUMMYFUNCTION("""COMPUTED_VALUE"""),2019)</f>
        <v>2019</v>
      </c>
      <c r="I43" s="5" t="str">
        <f ca="1">IFERROR(__xludf.DUMMYFUNCTION("""COMPUTED_VALUE"""),"1st edition")</f>
        <v>1st edition</v>
      </c>
      <c r="J43" s="5" t="str">
        <f ca="1">IFERROR(__xludf.DUMMYFUNCTION("""COMPUTED_VALUE"""),"978-0190948948")</f>
        <v>978-0190948948</v>
      </c>
      <c r="K43" s="5" t="str">
        <f ca="1">IFERROR(__xludf.DUMMYFUNCTION("""COMPUTED_VALUE"""),"$47.97 / $35.27")</f>
        <v>$47.97 / $35.27</v>
      </c>
      <c r="L43" s="5" t="str">
        <f ca="1">IFERROR(__xludf.DUMMYFUNCTION("""COMPUTED_VALUE"""),"")</f>
        <v/>
      </c>
    </row>
    <row r="44" spans="1:14" ht="14.25" x14ac:dyDescent="0.2">
      <c r="A44" s="5" t="str">
        <f ca="1">IFERROR(__xludf.DUMMYFUNCTION("""COMPUTED_VALUE"""),"OT 1323:  Latter Prophets and Writings")</f>
        <v>OT 1323:  Latter Prophets and Writings</v>
      </c>
      <c r="B44" s="5" t="str">
        <f ca="1">IFERROR(__xludf.DUMMYFUNCTION("""COMPUTED_VALUE"""),"Mayfield, T.")</f>
        <v>Mayfield, T.</v>
      </c>
      <c r="C44" s="5" t="str">
        <f ca="1">IFERROR(__xludf.DUMMYFUNCTION("""COMPUTED_VALUE"""),"Spring 2021")</f>
        <v>Spring 2021</v>
      </c>
      <c r="D44" s="5" t="str">
        <f ca="1">IFERROR(__xludf.DUMMYFUNCTION("""COMPUTED_VALUE"""),"Required")</f>
        <v>Required</v>
      </c>
      <c r="E44" s="5" t="str">
        <f ca="1">IFERROR(__xludf.DUMMYFUNCTION("""COMPUTED_VALUE"""),"Walter Brueggemann")</f>
        <v>Walter Brueggemann</v>
      </c>
      <c r="F44" s="5" t="str">
        <f ca="1">IFERROR(__xludf.DUMMYFUNCTION("""COMPUTED_VALUE"""),"Reality, Grief, Hope: Three Urgent Prophetic Tasks")</f>
        <v>Reality, Grief, Hope: Three Urgent Prophetic Tasks</v>
      </c>
      <c r="G44" s="5" t="str">
        <f ca="1">IFERROR(__xludf.DUMMYFUNCTION("""COMPUTED_VALUE"""),"Eerdmans")</f>
        <v>Eerdmans</v>
      </c>
      <c r="H44" s="5">
        <f ca="1">IFERROR(__xludf.DUMMYFUNCTION("""COMPUTED_VALUE"""),2014)</f>
        <v>2014</v>
      </c>
      <c r="I44" s="5" t="str">
        <f ca="1">IFERROR(__xludf.DUMMYFUNCTION("""COMPUTED_VALUE"""),"1st edition")</f>
        <v>1st edition</v>
      </c>
      <c r="J44" s="5" t="str">
        <f ca="1">IFERROR(__xludf.DUMMYFUNCTION("""COMPUTED_VALUE"""),"978-0802870728")</f>
        <v>978-0802870728</v>
      </c>
      <c r="K44" s="5" t="str">
        <f ca="1">IFERROR(__xludf.DUMMYFUNCTION("""COMPUTED_VALUE"""),"$15.00 / $12.91")</f>
        <v>$15.00 / $12.91</v>
      </c>
      <c r="L44" s="5" t="str">
        <f ca="1">IFERROR(__xludf.DUMMYFUNCTION("""COMPUTED_VALUE"""),"")</f>
        <v/>
      </c>
    </row>
    <row r="45" spans="1:14" ht="14.25" x14ac:dyDescent="0.2">
      <c r="A45" s="5" t="str">
        <f ca="1">IFERROR(__xludf.DUMMYFUNCTION("""COMPUTED_VALUE"""),"OT 1323:  Latter Prophets and Writings")</f>
        <v>OT 1323:  Latter Prophets and Writings</v>
      </c>
      <c r="B45" s="5" t="str">
        <f ca="1">IFERROR(__xludf.DUMMYFUNCTION("""COMPUTED_VALUE"""),"Mayfield, T.")</f>
        <v>Mayfield, T.</v>
      </c>
      <c r="C45" s="5" t="str">
        <f ca="1">IFERROR(__xludf.DUMMYFUNCTION("""COMPUTED_VALUE"""),"Spring 2021")</f>
        <v>Spring 2021</v>
      </c>
      <c r="D45" s="5" t="str">
        <f ca="1">IFERROR(__xludf.DUMMYFUNCTION("""COMPUTED_VALUE"""),"Required")</f>
        <v>Required</v>
      </c>
      <c r="E45" s="16" t="s">
        <v>62</v>
      </c>
      <c r="F45" s="5" t="str">
        <f ca="1">IFERROR(__xludf.DUMMYFUNCTION("""COMPUTED_VALUE"""),"The Wisdom Literature")</f>
        <v>The Wisdom Literature</v>
      </c>
      <c r="G45" s="16" t="s">
        <v>63</v>
      </c>
      <c r="H45" s="5">
        <f ca="1">IFERROR(__xludf.DUMMYFUNCTION("""COMPUTED_VALUE"""),1990)</f>
        <v>1990</v>
      </c>
      <c r="I45" s="5" t="str">
        <f ca="1">IFERROR(__xludf.DUMMYFUNCTION("""COMPUTED_VALUE"""),"N/A")</f>
        <v>N/A</v>
      </c>
      <c r="J45" s="5" t="s">
        <v>64</v>
      </c>
      <c r="K45" s="5" t="s">
        <v>65</v>
      </c>
      <c r="L45" s="5" t="str">
        <f ca="1">IFERROR(__xludf.DUMMYFUNCTION("""COMPUTED_VALUE"""),"")</f>
        <v/>
      </c>
    </row>
    <row r="46" spans="1:14" ht="14.25" x14ac:dyDescent="0.2">
      <c r="A46" s="5" t="str">
        <f ca="1">IFERROR(__xludf.DUMMYFUNCTION("""COMPUTED_VALUE"""),"OT 1323:  Latter Prophets and Writings")</f>
        <v>OT 1323:  Latter Prophets and Writings</v>
      </c>
      <c r="B46" s="5" t="str">
        <f ca="1">IFERROR(__xludf.DUMMYFUNCTION("""COMPUTED_VALUE"""),"Mayfield, T.")</f>
        <v>Mayfield, T.</v>
      </c>
      <c r="C46" s="5" t="str">
        <f ca="1">IFERROR(__xludf.DUMMYFUNCTION("""COMPUTED_VALUE"""),"Spring 2021")</f>
        <v>Spring 2021</v>
      </c>
      <c r="D46" s="5" t="str">
        <f ca="1">IFERROR(__xludf.DUMMYFUNCTION("""COMPUTED_VALUE"""),"Required")</f>
        <v>Required</v>
      </c>
      <c r="E46" s="5" t="str">
        <f ca="1">IFERROR(__xludf.DUMMYFUNCTION("""COMPUTED_VALUE"""),"Robert Williamson, Jr.")</f>
        <v>Robert Williamson, Jr.</v>
      </c>
      <c r="F46" s="5" t="str">
        <f ca="1">IFERROR(__xludf.DUMMYFUNCTION("""COMPUTED_VALUE"""),"The Forgotten Books of the Bible: recovering The Five Scrolls For Today")</f>
        <v>The Forgotten Books of the Bible: recovering The Five Scrolls For Today</v>
      </c>
      <c r="G46" s="5" t="str">
        <f ca="1">IFERROR(__xludf.DUMMYFUNCTION("""COMPUTED_VALUE"""),"Fortress Press")</f>
        <v>Fortress Press</v>
      </c>
      <c r="H46" s="5">
        <f ca="1">IFERROR(__xludf.DUMMYFUNCTION("""COMPUTED_VALUE"""),2018)</f>
        <v>2018</v>
      </c>
      <c r="I46" s="5" t="str">
        <f ca="1">IFERROR(__xludf.DUMMYFUNCTION("""COMPUTED_VALUE"""),"1st edition")</f>
        <v>1st edition</v>
      </c>
      <c r="J46" s="5" t="str">
        <f ca="1">IFERROR(__xludf.DUMMYFUNCTION("""COMPUTED_VALUE"""),"978-1506406268")</f>
        <v>978-1506406268</v>
      </c>
      <c r="K46" s="5" t="str">
        <f ca="1">IFERROR(__xludf.DUMMYFUNCTION("""COMPUTED_VALUE"""),"$16.99 / $13.99")</f>
        <v>$16.99 / $13.99</v>
      </c>
      <c r="L46" s="5" t="str">
        <f ca="1">IFERROR(__xludf.DUMMYFUNCTION("""COMPUTED_VALUE"""),"")</f>
        <v/>
      </c>
    </row>
    <row r="47" spans="1:14" ht="14.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4.25" x14ac:dyDescent="0.2">
      <c r="A48" s="5" t="str">
        <f ca="1">IFERROR(__xludf.DUMMYFUNCTION("""COMPUTED_VALUE"""),"OT 3233:  The Ethics of Violence in the Old Testament")</f>
        <v>OT 3233:  The Ethics of Violence in the Old Testament</v>
      </c>
      <c r="B48" s="5" t="str">
        <f ca="1">IFERROR(__xludf.DUMMYFUNCTION("""COMPUTED_VALUE"""),"Mayfield, T.")</f>
        <v>Mayfield, T.</v>
      </c>
      <c r="C48" s="5" t="str">
        <f ca="1">IFERROR(__xludf.DUMMYFUNCTION("""COMPUTED_VALUE"""),"Spring 2021")</f>
        <v>Spring 2021</v>
      </c>
      <c r="D48" s="5" t="str">
        <f ca="1">IFERROR(__xludf.DUMMYFUNCTION("""COMPUTED_VALUE"""),"Required")</f>
        <v>Required</v>
      </c>
      <c r="E48" s="5" t="str">
        <f ca="1">IFERROR(__xludf.DUMMYFUNCTION("""COMPUTED_VALUE"""),"Renita Weems")</f>
        <v>Renita Weems</v>
      </c>
      <c r="F48" s="5" t="str">
        <f ca="1">IFERROR(__xludf.DUMMYFUNCTION("""COMPUTED_VALUE"""),"Battered Love: Marriage, Sex, and Violence in the Hebrew Prophets")</f>
        <v>Battered Love: Marriage, Sex, and Violence in the Hebrew Prophets</v>
      </c>
      <c r="G48" s="5" t="str">
        <f ca="1">IFERROR(__xludf.DUMMYFUNCTION("""COMPUTED_VALUE"""),"Fortress Press")</f>
        <v>Fortress Press</v>
      </c>
      <c r="H48" s="5">
        <f ca="1">IFERROR(__xludf.DUMMYFUNCTION("""COMPUTED_VALUE"""),1995)</f>
        <v>1995</v>
      </c>
      <c r="I48" s="5" t="str">
        <f ca="1">IFERROR(__xludf.DUMMYFUNCTION("""COMPUTED_VALUE"""),"First Printing Edition")</f>
        <v>First Printing Edition</v>
      </c>
      <c r="J48" s="5" t="str">
        <f ca="1">IFERROR(__xludf.DUMMYFUNCTION("""COMPUTED_VALUE"""),"978-0800629489")</f>
        <v>978-0800629489</v>
      </c>
      <c r="K48" s="5" t="str">
        <f ca="1">IFERROR(__xludf.DUMMYFUNCTION("""COMPUTED_VALUE"""),"/ $21.17")</f>
        <v>/ $21.17</v>
      </c>
      <c r="L48" s="5" t="str">
        <f ca="1">IFERROR(__xludf.DUMMYFUNCTION("""COMPUTED_VALUE"""),"")</f>
        <v/>
      </c>
    </row>
    <row r="49" spans="1:12" ht="14.25" x14ac:dyDescent="0.2">
      <c r="A49" s="5" t="str">
        <f ca="1">IFERROR(__xludf.DUMMYFUNCTION("""COMPUTED_VALUE"""),"OT 3233:  The Ethics of Violence in the Old Testament")</f>
        <v>OT 3233:  The Ethics of Violence in the Old Testament</v>
      </c>
      <c r="B49" s="5" t="str">
        <f ca="1">IFERROR(__xludf.DUMMYFUNCTION("""COMPUTED_VALUE"""),"Mayfield, T.")</f>
        <v>Mayfield, T.</v>
      </c>
      <c r="C49" s="5" t="str">
        <f ca="1">IFERROR(__xludf.DUMMYFUNCTION("""COMPUTED_VALUE"""),"Spring 2021")</f>
        <v>Spring 2021</v>
      </c>
      <c r="D49" s="5" t="str">
        <f ca="1">IFERROR(__xludf.DUMMYFUNCTION("""COMPUTED_VALUE"""),"Required")</f>
        <v>Required</v>
      </c>
      <c r="E49" s="5" t="str">
        <f ca="1">IFERROR(__xludf.DUMMYFUNCTION("""COMPUTED_VALUE"""),"Eric A. Seibert")</f>
        <v>Eric A. Seibert</v>
      </c>
      <c r="F49" s="5" t="str">
        <f ca="1">IFERROR(__xludf.DUMMYFUNCTION("""COMPUTED_VALUE"""),"The Violence of Scripture: Overcoming the Old Testament's Troubling Legacy")</f>
        <v>The Violence of Scripture: Overcoming the Old Testament's Troubling Legacy</v>
      </c>
      <c r="G49" s="5" t="str">
        <f ca="1">IFERROR(__xludf.DUMMYFUNCTION("""COMPUTED_VALUE"""),"Fortress Press")</f>
        <v>Fortress Press</v>
      </c>
      <c r="H49" s="5">
        <f ca="1">IFERROR(__xludf.DUMMYFUNCTION("""COMPUTED_VALUE"""),2012)</f>
        <v>2012</v>
      </c>
      <c r="I49" s="5" t="str">
        <f ca="1">IFERROR(__xludf.DUMMYFUNCTION("""COMPUTED_VALUE"""),"7.2.2012 Edition")</f>
        <v>7.2.2012 Edition</v>
      </c>
      <c r="J49" s="5" t="str">
        <f ca="1">IFERROR(__xludf.DUMMYFUNCTION("""COMPUTED_VALUE"""),"978-0800698256")</f>
        <v>978-0800698256</v>
      </c>
      <c r="K49" s="5" t="str">
        <f ca="1">IFERROR(__xludf.DUMMYFUNCTION("""COMPUTED_VALUE"""),"/ $23.00")</f>
        <v>/ $23.00</v>
      </c>
      <c r="L49" s="5" t="str">
        <f ca="1">IFERROR(__xludf.DUMMYFUNCTION("""COMPUTED_VALUE"""),"")</f>
        <v/>
      </c>
    </row>
    <row r="50" spans="1:12" ht="14.25" x14ac:dyDescent="0.2">
      <c r="A50" s="5" t="str">
        <f ca="1">IFERROR(__xludf.DUMMYFUNCTION("""COMPUTED_VALUE"""),"OT 3233:  The Ethics of Violence in the Old Testament")</f>
        <v>OT 3233:  The Ethics of Violence in the Old Testament</v>
      </c>
      <c r="B50" s="5" t="str">
        <f ca="1">IFERROR(__xludf.DUMMYFUNCTION("""COMPUTED_VALUE"""),"Mayfield, T.")</f>
        <v>Mayfield, T.</v>
      </c>
      <c r="C50" s="5" t="str">
        <f ca="1">IFERROR(__xludf.DUMMYFUNCTION("""COMPUTED_VALUE"""),"Spring 2021")</f>
        <v>Spring 2021</v>
      </c>
      <c r="D50" s="5" t="str">
        <f ca="1">IFERROR(__xludf.DUMMYFUNCTION("""COMPUTED_VALUE"""),"Required")</f>
        <v>Required</v>
      </c>
      <c r="E50" s="5" t="str">
        <f ca="1">IFERROR(__xludf.DUMMYFUNCTION("""COMPUTED_VALUE"""),"Jerome F. D. Creach")</f>
        <v>Jerome F. D. Creach</v>
      </c>
      <c r="F50" s="5" t="str">
        <f ca="1">IFERROR(__xludf.DUMMYFUNCTION("""COMPUTED_VALUE"""),"Violence in Scripture: Interpretation: Resources for the Use of Scripture in the Church")</f>
        <v>Violence in Scripture: Interpretation: Resources for the Use of Scripture in the Church</v>
      </c>
      <c r="G50" s="5" t="str">
        <f ca="1">IFERROR(__xludf.DUMMYFUNCTION("""COMPUTED_VALUE"""),"Westminster John Knox Press")</f>
        <v>Westminster John Knox Press</v>
      </c>
      <c r="H50" s="5">
        <f ca="1">IFERROR(__xludf.DUMMYFUNCTION("""COMPUTED_VALUE"""),2013)</f>
        <v>2013</v>
      </c>
      <c r="I50" s="5" t="str">
        <f ca="1">IFERROR(__xludf.DUMMYFUNCTION("""COMPUTED_VALUE"""),"N/A")</f>
        <v>N/A</v>
      </c>
      <c r="J50" s="5" t="str">
        <f ca="1">IFERROR(__xludf.DUMMYFUNCTION("""COMPUTED_VALUE"""),"978-0664231453")</f>
        <v>978-0664231453</v>
      </c>
      <c r="K50" s="5" t="str">
        <f ca="1">IFERROR(__xludf.DUMMYFUNCTION("""COMPUTED_VALUE"""),"$40.00 / $26.42")</f>
        <v>$40.00 / $26.42</v>
      </c>
      <c r="L50" s="5" t="str">
        <f ca="1">IFERROR(__xludf.DUMMYFUNCTION("""COMPUTED_VALUE"""),"")</f>
        <v/>
      </c>
    </row>
    <row r="51" spans="1:12" ht="14.25" x14ac:dyDescent="0.2">
      <c r="A51" s="5" t="str">
        <f ca="1">IFERROR(__xludf.DUMMYFUNCTION("""COMPUTED_VALUE"""),"OT 3233:  The Ethics of Violence in the Old Testament")</f>
        <v>OT 3233:  The Ethics of Violence in the Old Testament</v>
      </c>
      <c r="B51" s="5" t="str">
        <f ca="1">IFERROR(__xludf.DUMMYFUNCTION("""COMPUTED_VALUE"""),"Mayfield, T.")</f>
        <v>Mayfield, T.</v>
      </c>
      <c r="C51" s="5" t="str">
        <f ca="1">IFERROR(__xludf.DUMMYFUNCTION("""COMPUTED_VALUE"""),"Spring 2021")</f>
        <v>Spring 2021</v>
      </c>
      <c r="D51" s="5" t="str">
        <f ca="1">IFERROR(__xludf.DUMMYFUNCTION("""COMPUTED_VALUE"""),"Required")</f>
        <v>Required</v>
      </c>
      <c r="E51" s="5" t="str">
        <f ca="1">IFERROR(__xludf.DUMMYFUNCTION("""COMPUTED_VALUE"""),"L. Juliana M. Claassens")</f>
        <v>L. Juliana M. Claassens</v>
      </c>
      <c r="F51" s="5" t="str">
        <f ca="1">IFERROR(__xludf.DUMMYFUNCTION("""COMPUTED_VALUE"""),"Mourner, Mother, Midwife: Reimagining God's Delivering Presence in the Old Testament")</f>
        <v>Mourner, Mother, Midwife: Reimagining God's Delivering Presence in the Old Testament</v>
      </c>
      <c r="G51" s="5" t="str">
        <f ca="1">IFERROR(__xludf.DUMMYFUNCTION("""COMPUTED_VALUE"""),"Westminster John Knox Press")</f>
        <v>Westminster John Knox Press</v>
      </c>
      <c r="H51" s="5">
        <f ca="1">IFERROR(__xludf.DUMMYFUNCTION("""COMPUTED_VALUE"""),2012)</f>
        <v>2012</v>
      </c>
      <c r="I51" s="5" t="str">
        <f ca="1">IFERROR(__xludf.DUMMYFUNCTION("""COMPUTED_VALUE"""),"N/A")</f>
        <v>N/A</v>
      </c>
      <c r="J51" s="5" t="str">
        <f ca="1">IFERROR(__xludf.DUMMYFUNCTION("""COMPUTED_VALUE"""),"978-0664238360")</f>
        <v>978-0664238360</v>
      </c>
      <c r="K51" s="5" t="str">
        <f ca="1">IFERROR(__xludf.DUMMYFUNCTION("""COMPUTED_VALUE"""),"$25.00 / $20.78")</f>
        <v>$25.00 / $20.78</v>
      </c>
      <c r="L51" s="5" t="str">
        <f ca="1">IFERROR(__xludf.DUMMYFUNCTION("""COMPUTED_VALUE"""),"")</f>
        <v/>
      </c>
    </row>
    <row r="52" spans="1:12" ht="14.25" x14ac:dyDescent="0.2">
      <c r="A52" s="5" t="str">
        <f ca="1">IFERROR(__xludf.DUMMYFUNCTION("""COMPUTED_VALUE"""),"OT 3233:  The Ethics of Violence in the Old Testament")</f>
        <v>OT 3233:  The Ethics of Violence in the Old Testament</v>
      </c>
      <c r="B52" s="5" t="str">
        <f ca="1">IFERROR(__xludf.DUMMYFUNCTION("""COMPUTED_VALUE"""),"Mayfield, T.")</f>
        <v>Mayfield, T.</v>
      </c>
      <c r="C52" s="5" t="str">
        <f ca="1">IFERROR(__xludf.DUMMYFUNCTION("""COMPUTED_VALUE"""),"Spring 2021")</f>
        <v>Spring 2021</v>
      </c>
      <c r="D52" s="5" t="s">
        <v>46</v>
      </c>
      <c r="E52" s="5" t="str">
        <f ca="1">IFERROR(__xludf.DUMMYFUNCTION("""COMPUTED_VALUE"""),"Eryl W. Davies")</f>
        <v>Eryl W. Davies</v>
      </c>
      <c r="F52" s="5" t="str">
        <f ca="1">IFERROR(__xludf.DUMMYFUNCTION("""COMPUTED_VALUE"""),"The Immoral Bible: Approaches to Biblical Ethics")</f>
        <v>The Immoral Bible: Approaches to Biblical Ethics</v>
      </c>
      <c r="G52" s="5" t="str">
        <f ca="1">IFERROR(__xludf.DUMMYFUNCTION("""COMPUTED_VALUE"""),"T&amp;T Clark")</f>
        <v>T&amp;T Clark</v>
      </c>
      <c r="H52" s="5">
        <f ca="1">IFERROR(__xludf.DUMMYFUNCTION("""COMPUTED_VALUE"""),2010)</f>
        <v>2010</v>
      </c>
      <c r="I52" s="5" t="str">
        <f ca="1">IFERROR(__xludf.DUMMYFUNCTION("""COMPUTED_VALUE"""),"0th edition")</f>
        <v>0th edition</v>
      </c>
      <c r="J52" s="5" t="str">
        <f ca="1">IFERROR(__xludf.DUMMYFUNCTION("""COMPUTED_VALUE"""),"978-0567305497")</f>
        <v>978-0567305497</v>
      </c>
      <c r="K52" s="5" t="str">
        <f ca="1">IFERROR(__xludf.DUMMYFUNCTION("""COMPUTED_VALUE"""),"$39.95 / $37.89")</f>
        <v>$39.95 / $37.89</v>
      </c>
      <c r="L52" s="5" t="str">
        <f ca="1">IFERROR(__xludf.DUMMYFUNCTION("""COMPUTED_VALUE"""),"")</f>
        <v/>
      </c>
    </row>
    <row r="53" spans="1:12" ht="14.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4.25" x14ac:dyDescent="0.2">
      <c r="A54" s="5" t="str">
        <f ca="1">IFERROR(__xludf.DUMMYFUNCTION("""COMPUTED_VALUE"""),"PC 3033:  Couples Therapy")</f>
        <v>PC 3033:  Couples Therapy</v>
      </c>
      <c r="B54" s="5" t="str">
        <f ca="1">IFERROR(__xludf.DUMMYFUNCTION("""COMPUTED_VALUE"""),"Hicks, A.")</f>
        <v>Hicks, A.</v>
      </c>
      <c r="C54" s="5" t="str">
        <f ca="1">IFERROR(__xludf.DUMMYFUNCTION("""COMPUTED_VALUE"""),"Spring 2021")</f>
        <v>Spring 2021</v>
      </c>
      <c r="D54" s="5" t="str">
        <f ca="1">IFERROR(__xludf.DUMMYFUNCTION("""COMPUTED_VALUE"""),"Required")</f>
        <v>Required</v>
      </c>
      <c r="E54" s="5" t="str">
        <f ca="1">IFERROR(__xludf.DUMMYFUNCTION("""COMPUTED_VALUE"""),"Gottman, J.S. &amp; Gottman, J.M ")</f>
        <v xml:space="preserve">Gottman, J.S. &amp; Gottman, J.M </v>
      </c>
      <c r="F54" s="5" t="str">
        <f ca="1">IFERROR(__xludf.DUMMYFUNCTION("""COMPUTED_VALUE"""),"10 Principles for Doing Effective Couples Therapy ")</f>
        <v xml:space="preserve">10 Principles for Doing Effective Couples Therapy </v>
      </c>
      <c r="G54" s="5" t="str">
        <f ca="1">IFERROR(__xludf.DUMMYFUNCTION("""COMPUTED_VALUE"""),"W W Norton &amp; Company")</f>
        <v>W W Norton &amp; Company</v>
      </c>
      <c r="H54" s="5">
        <f ca="1">IFERROR(__xludf.DUMMYFUNCTION("""COMPUTED_VALUE"""),2015)</f>
        <v>2015</v>
      </c>
      <c r="I54" s="5" t="str">
        <f ca="1">IFERROR(__xludf.DUMMYFUNCTION("""COMPUTED_VALUE"""),"First edition")</f>
        <v>First edition</v>
      </c>
      <c r="J54" s="5" t="str">
        <f ca="1">IFERROR(__xludf.DUMMYFUNCTION("""COMPUTED_VALUE"""),"978-0393708356")</f>
        <v>978-0393708356</v>
      </c>
      <c r="K54" s="5" t="str">
        <f ca="1">IFERROR(__xludf.DUMMYFUNCTION("""COMPUTED_VALUE"""),"25.95")</f>
        <v>25.95</v>
      </c>
      <c r="L54" s="5" t="str">
        <f ca="1">IFERROR(__xludf.DUMMYFUNCTION("""COMPUTED_VALUE"""),"")</f>
        <v/>
      </c>
    </row>
    <row r="55" spans="1:12" ht="14.25" x14ac:dyDescent="0.2">
      <c r="A55" s="5" t="str">
        <f ca="1">IFERROR(__xludf.DUMMYFUNCTION("""COMPUTED_VALUE"""),"PC 3033:  Couples Therapy")</f>
        <v>PC 3033:  Couples Therapy</v>
      </c>
      <c r="B55" s="5" t="str">
        <f ca="1">IFERROR(__xludf.DUMMYFUNCTION("""COMPUTED_VALUE"""),"Hicks, A.")</f>
        <v>Hicks, A.</v>
      </c>
      <c r="C55" s="5" t="str">
        <f ca="1">IFERROR(__xludf.DUMMYFUNCTION("""COMPUTED_VALUE"""),"Spring 2021")</f>
        <v>Spring 2021</v>
      </c>
      <c r="D55" s="5" t="str">
        <f ca="1">IFERROR(__xludf.DUMMYFUNCTION("""COMPUTED_VALUE"""),"Required")</f>
        <v>Required</v>
      </c>
      <c r="E55" s="5" t="str">
        <f ca="1">IFERROR(__xludf.DUMMYFUNCTION("""COMPUTED_VALUE"""),"Coontz, S. ")</f>
        <v xml:space="preserve">Coontz, S. </v>
      </c>
      <c r="F55" s="5" t="str">
        <f ca="1">IFERROR(__xludf.DUMMYFUNCTION("""COMPUTED_VALUE"""),"Marriage, a history: How love conquered marriage")</f>
        <v>Marriage, a history: How love conquered marriage</v>
      </c>
      <c r="G55" s="5" t="str">
        <f ca="1">IFERROR(__xludf.DUMMYFUNCTION("""COMPUTED_VALUE"""),"Penguin")</f>
        <v>Penguin</v>
      </c>
      <c r="H55" s="5">
        <f ca="1">IFERROR(__xludf.DUMMYFUNCTION("""COMPUTED_VALUE"""),2006)</f>
        <v>2006</v>
      </c>
      <c r="I55" s="5" t="str">
        <f ca="1">IFERROR(__xludf.DUMMYFUNCTION("""COMPUTED_VALUE"""),"Annotated Edition")</f>
        <v>Annotated Edition</v>
      </c>
      <c r="J55" s="5" t="str">
        <f ca="1">IFERROR(__xludf.DUMMYFUNCTION("""COMPUTED_VALUE"""),"978-0143036678")</f>
        <v>978-0143036678</v>
      </c>
      <c r="K55" s="5" t="str">
        <f ca="1">IFERROR(__xludf.DUMMYFUNCTION("""COMPUTED_VALUE"""),"19")</f>
        <v>19</v>
      </c>
      <c r="L55" s="5" t="str">
        <f ca="1">IFERROR(__xludf.DUMMYFUNCTION("""COMPUTED_VALUE"""),"")</f>
        <v/>
      </c>
    </row>
    <row r="56" spans="1:12" ht="14.25" x14ac:dyDescent="0.2">
      <c r="A56" s="5" t="str">
        <f ca="1">IFERROR(__xludf.DUMMYFUNCTION("""COMPUTED_VALUE"""),"PC 3033:  Couples Therapy")</f>
        <v>PC 3033:  Couples Therapy</v>
      </c>
      <c r="B56" s="5" t="str">
        <f ca="1">IFERROR(__xludf.DUMMYFUNCTION("""COMPUTED_VALUE"""),"Hicks, A.")</f>
        <v>Hicks, A.</v>
      </c>
      <c r="C56" s="5" t="str">
        <f ca="1">IFERROR(__xludf.DUMMYFUNCTION("""COMPUTED_VALUE"""),"Spring 2021")</f>
        <v>Spring 2021</v>
      </c>
      <c r="D56" s="5" t="str">
        <f ca="1">IFERROR(__xludf.DUMMYFUNCTION("""COMPUTED_VALUE"""),"Required")</f>
        <v>Required</v>
      </c>
      <c r="E56" s="5" t="str">
        <f ca="1">IFERROR(__xludf.DUMMYFUNCTION("""COMPUTED_VALUE"""),"Flemons, D. &amp; Green, S")</f>
        <v>Flemons, D. &amp; Green, S</v>
      </c>
      <c r="F56" s="5" t="str">
        <f ca="1">IFERROR(__xludf.DUMMYFUNCTION("""COMPUTED_VALUE"""),"Quickies: The handbook of brief sex therapy. ")</f>
        <v xml:space="preserve">Quickies: The handbook of brief sex therapy. </v>
      </c>
      <c r="G56" s="5" t="str">
        <f ca="1">IFERROR(__xludf.DUMMYFUNCTION("""COMPUTED_VALUE""")," WW Norton &amp; Company")</f>
        <v xml:space="preserve"> WW Norton &amp; Company</v>
      </c>
      <c r="H56" s="5">
        <f ca="1">IFERROR(__xludf.DUMMYFUNCTION("""COMPUTED_VALUE"""),2013)</f>
        <v>2013</v>
      </c>
      <c r="I56" s="5" t="str">
        <f ca="1">IFERROR(__xludf.DUMMYFUNCTION("""COMPUTED_VALUE"""),"Third")</f>
        <v>Third</v>
      </c>
      <c r="J56" s="5" t="str">
        <f ca="1">IFERROR(__xludf.DUMMYFUNCTION("""COMPUTED_VALUE"""),"978-0393711561")</f>
        <v>978-0393711561</v>
      </c>
      <c r="K56" s="5" t="str">
        <f ca="1">IFERROR(__xludf.DUMMYFUNCTION("""COMPUTED_VALUE"""),"28.95")</f>
        <v>28.95</v>
      </c>
      <c r="L56" s="5" t="str">
        <f ca="1">IFERROR(__xludf.DUMMYFUNCTION("""COMPUTED_VALUE"""),"")</f>
        <v/>
      </c>
    </row>
    <row r="57" spans="1:12" ht="14.25" x14ac:dyDescent="0.2">
      <c r="A57" s="5" t="str">
        <f ca="1">IFERROR(__xludf.DUMMYFUNCTION("""COMPUTED_VALUE"""),"PC 3033:  Couples Therapy")</f>
        <v>PC 3033:  Couples Therapy</v>
      </c>
      <c r="B57" s="5" t="str">
        <f ca="1">IFERROR(__xludf.DUMMYFUNCTION("""COMPUTED_VALUE"""),"Hicks, A.")</f>
        <v>Hicks, A.</v>
      </c>
      <c r="C57" s="5" t="str">
        <f ca="1">IFERROR(__xludf.DUMMYFUNCTION("""COMPUTED_VALUE"""),"Spring 2021")</f>
        <v>Spring 2021</v>
      </c>
      <c r="D57" s="5" t="str">
        <f ca="1">IFERROR(__xludf.DUMMYFUNCTION("""COMPUTED_VALUE"""),"Required")</f>
        <v>Required</v>
      </c>
      <c r="E57" s="5" t="str">
        <f ca="1">IFERROR(__xludf.DUMMYFUNCTION("""COMPUTED_VALUE"""),"Susan M. Johnson  Lorrie Brubacher , James L. Furrow  Alison Lee, Gail Palmer, Kathryn Rheem , Scott Woolley ")</f>
        <v xml:space="preserve">Susan M. Johnson  Lorrie Brubacher , James L. Furrow  Alison Lee, Gail Palmer, Kathryn Rheem , Scott Woolley </v>
      </c>
      <c r="F57" s="5" t="str">
        <f ca="1">IFERROR(__xludf.DUMMYFUNCTION("""COMPUTED_VALUE"""),"Becoming an Emotionally Focused Couple Therapist: The Workbook")</f>
        <v>Becoming an Emotionally Focused Couple Therapist: The Workbook</v>
      </c>
      <c r="G57" s="5" t="str">
        <f ca="1">IFERROR(__xludf.DUMMYFUNCTION("""COMPUTED_VALUE"""),"Routledge")</f>
        <v>Routledge</v>
      </c>
      <c r="H57" s="5">
        <f ca="1">IFERROR(__xludf.DUMMYFUNCTION("""COMPUTED_VALUE"""),2005)</f>
        <v>2005</v>
      </c>
      <c r="I57" s="5" t="str">
        <f ca="1">IFERROR(__xludf.DUMMYFUNCTION("""COMPUTED_VALUE"""),"first edition")</f>
        <v>first edition</v>
      </c>
      <c r="J57" s="5" t="str">
        <f ca="1">IFERROR(__xludf.DUMMYFUNCTION("""COMPUTED_VALUE"""),"978-0415947473")</f>
        <v>978-0415947473</v>
      </c>
      <c r="K57" s="5" t="str">
        <f ca="1">IFERROR(__xludf.DUMMYFUNCTION("""COMPUTED_VALUE"""),"42.74")</f>
        <v>42.74</v>
      </c>
      <c r="L57" s="5" t="str">
        <f ca="1">IFERROR(__xludf.DUMMYFUNCTION("""COMPUTED_VALUE"""),"")</f>
        <v/>
      </c>
    </row>
    <row r="58" spans="1:12" ht="14.25" x14ac:dyDescent="0.2">
      <c r="A58" s="5" t="str">
        <f ca="1">IFERROR(__xludf.DUMMYFUNCTION("""COMPUTED_VALUE"""),"PC 3033:  Couples Therapy")</f>
        <v>PC 3033:  Couples Therapy</v>
      </c>
      <c r="B58" s="5" t="str">
        <f ca="1">IFERROR(__xludf.DUMMYFUNCTION("""COMPUTED_VALUE"""),"Hicks, A.")</f>
        <v>Hicks, A.</v>
      </c>
      <c r="C58" s="5" t="str">
        <f ca="1">IFERROR(__xludf.DUMMYFUNCTION("""COMPUTED_VALUE"""),"Spring 2021")</f>
        <v>Spring 2021</v>
      </c>
      <c r="D58" s="5" t="str">
        <f ca="1">IFERROR(__xludf.DUMMYFUNCTION("""COMPUTED_VALUE"""),"Required")</f>
        <v>Required</v>
      </c>
      <c r="E58" s="5" t="str">
        <f ca="1">IFERROR(__xludf.DUMMYFUNCTION("""COMPUTED_VALUE"""),"Susan M. Johnson")</f>
        <v>Susan M. Johnson</v>
      </c>
      <c r="F58" s="5" t="str">
        <f ca="1">IFERROR(__xludf.DUMMYFUNCTION("""COMPUTED_VALUE"""),"The Practice of Emotionally Focused Couple Therapy: Creating Connection (Basic Principles Into Practice Series)")</f>
        <v>The Practice of Emotionally Focused Couple Therapy: Creating Connection (Basic Principles Into Practice Series)</v>
      </c>
      <c r="G58" s="5" t="str">
        <f ca="1">IFERROR(__xludf.DUMMYFUNCTION("""COMPUTED_VALUE"""),"Routledge")</f>
        <v>Routledge</v>
      </c>
      <c r="H58" s="5">
        <f ca="1">IFERROR(__xludf.DUMMYFUNCTION("""COMPUTED_VALUE"""),2004)</f>
        <v>2004</v>
      </c>
      <c r="I58" s="5" t="str">
        <f ca="1">IFERROR(__xludf.DUMMYFUNCTION("""COMPUTED_VALUE"""),"2nd edition")</f>
        <v>2nd edition</v>
      </c>
      <c r="J58" s="5" t="str">
        <f ca="1">IFERROR(__xludf.DUMMYFUNCTION("""COMPUTED_VALUE"""),"978-0415945684")</f>
        <v>978-0415945684</v>
      </c>
      <c r="K58" s="5" t="str">
        <f ca="1">IFERROR(__xludf.DUMMYFUNCTION("""COMPUTED_VALUE"""),"43.95")</f>
        <v>43.95</v>
      </c>
      <c r="L58" s="5" t="str">
        <f ca="1">IFERROR(__xludf.DUMMYFUNCTION("""COMPUTED_VALUE"""),"")</f>
        <v/>
      </c>
    </row>
    <row r="59" spans="1:12" ht="14.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4.25" x14ac:dyDescent="0.2">
      <c r="A60" s="5" t="str">
        <f ca="1">IFERROR(__xludf.DUMMYFUNCTION("""COMPUTED_VALUE"""),"PC 3073:  Human Sexuality")</f>
        <v>PC 3073:  Human Sexuality</v>
      </c>
      <c r="B60" s="5" t="str">
        <f ca="1">IFERROR(__xludf.DUMMYFUNCTION("""COMPUTED_VALUE"""),"Earles, L.")</f>
        <v>Earles, L.</v>
      </c>
      <c r="C60" s="5" t="str">
        <f ca="1">IFERROR(__xludf.DUMMYFUNCTION("""COMPUTED_VALUE"""),"Spring 2021")</f>
        <v>Spring 2021</v>
      </c>
      <c r="D60" s="5" t="str">
        <f ca="1">IFERROR(__xludf.DUMMYFUNCTION("""COMPUTED_VALUE"""),"Required")</f>
        <v>Required</v>
      </c>
      <c r="E60" s="5" t="str">
        <f ca="1">IFERROR(__xludf.DUMMYFUNCTION("""COMPUTED_VALUE"""),"Ott, K.")</f>
        <v>Ott, K.</v>
      </c>
      <c r="F60" s="5" t="str">
        <f ca="1">IFERROR(__xludf.DUMMYFUNCTION("""COMPUTED_VALUE"""),"Sex + faith: Talking with your child from birth to adolescence.")</f>
        <v>Sex + faith: Talking with your child from birth to adolescence.</v>
      </c>
      <c r="G60" s="5" t="str">
        <f ca="1">IFERROR(__xludf.DUMMYFUNCTION("""COMPUTED_VALUE"""),"WJKP")</f>
        <v>WJKP</v>
      </c>
      <c r="H60" s="5">
        <f ca="1">IFERROR(__xludf.DUMMYFUNCTION("""COMPUTED_VALUE"""),2013)</f>
        <v>2013</v>
      </c>
      <c r="I60" s="5" t="str">
        <f ca="1">IFERROR(__xludf.DUMMYFUNCTION("""COMPUTED_VALUE"""),"1st")</f>
        <v>1st</v>
      </c>
      <c r="J60" s="5" t="str">
        <f ca="1">IFERROR(__xludf.DUMMYFUNCTION("""COMPUTED_VALUE"""),"0664237991")</f>
        <v>0664237991</v>
      </c>
      <c r="K60" s="5" t="str">
        <f ca="1">IFERROR(__xludf.DUMMYFUNCTION("""COMPUTED_VALUE"""),"14.84")</f>
        <v>14.84</v>
      </c>
      <c r="L60" s="5"/>
    </row>
    <row r="61" spans="1:12" ht="14.25" x14ac:dyDescent="0.2">
      <c r="A61" s="5" t="str">
        <f ca="1">IFERROR(__xludf.DUMMYFUNCTION("""COMPUTED_VALUE"""),"PC 3073:  Human Sexuality")</f>
        <v>PC 3073:  Human Sexuality</v>
      </c>
      <c r="B61" s="5" t="str">
        <f ca="1">IFERROR(__xludf.DUMMYFUNCTION("""COMPUTED_VALUE"""),"Earles, L.")</f>
        <v>Earles, L.</v>
      </c>
      <c r="C61" s="5" t="str">
        <f ca="1">IFERROR(__xludf.DUMMYFUNCTION("""COMPUTED_VALUE"""),"Spring 2021")</f>
        <v>Spring 2021</v>
      </c>
      <c r="D61" s="5" t="str">
        <f ca="1">IFERROR(__xludf.DUMMYFUNCTION("""COMPUTED_VALUE"""),"Required")</f>
        <v>Required</v>
      </c>
      <c r="E61" s="5" t="str">
        <f ca="1">IFERROR(__xludf.DUMMYFUNCTION("""COMPUTED_VALUE"""),"Nelson, T.")</f>
        <v>Nelson, T.</v>
      </c>
      <c r="F61" s="5" t="str">
        <f ca="1">IFERROR(__xludf.DUMMYFUNCTION("""COMPUTED_VALUE"""),"Integrative sex &amp; couples therapy: A therapist's guide to new and innovative approaches")</f>
        <v>Integrative sex &amp; couples therapy: A therapist's guide to new and innovative approaches</v>
      </c>
      <c r="G61" s="5" t="str">
        <f ca="1">IFERROR(__xludf.DUMMYFUNCTION("""COMPUTED_VALUE"""),"PESI Publishing &amp; Media")</f>
        <v>PESI Publishing &amp; Media</v>
      </c>
      <c r="H61" s="5">
        <f ca="1">IFERROR(__xludf.DUMMYFUNCTION("""COMPUTED_VALUE"""),2020)</f>
        <v>2020</v>
      </c>
      <c r="I61" s="5" t="str">
        <f ca="1">IFERROR(__xludf.DUMMYFUNCTION("""COMPUTED_VALUE"""),"1st")</f>
        <v>1st</v>
      </c>
      <c r="J61" s="5" t="str">
        <f ca="1">IFERROR(__xludf.DUMMYFUNCTION("""COMPUTED_VALUE"""),"168373257X")</f>
        <v>168373257X</v>
      </c>
      <c r="K61" s="5" t="str">
        <f ca="1">IFERROR(__xludf.DUMMYFUNCTION("""COMPUTED_VALUE"""),"25.1")</f>
        <v>25.1</v>
      </c>
      <c r="L61" s="5"/>
    </row>
    <row r="62" spans="1:12" ht="14.25" x14ac:dyDescent="0.2">
      <c r="A62" s="5" t="str">
        <f ca="1">IFERROR(__xludf.DUMMYFUNCTION("""COMPUTED_VALUE"""),"PC 3073:  Human Sexuality")</f>
        <v>PC 3073:  Human Sexuality</v>
      </c>
      <c r="B62" s="5" t="str">
        <f ca="1">IFERROR(__xludf.DUMMYFUNCTION("""COMPUTED_VALUE"""),"Earles, L.")</f>
        <v>Earles, L.</v>
      </c>
      <c r="C62" s="5" t="str">
        <f ca="1">IFERROR(__xludf.DUMMYFUNCTION("""COMPUTED_VALUE"""),"Spring 2021")</f>
        <v>Spring 2021</v>
      </c>
      <c r="D62" s="5" t="str">
        <f ca="1">IFERROR(__xludf.DUMMYFUNCTION("""COMPUTED_VALUE"""),"Required")</f>
        <v>Required</v>
      </c>
      <c r="E62" s="5" t="str">
        <f ca="1">IFERROR(__xludf.DUMMYFUNCTION("""COMPUTED_VALUE"""),"Ellison, M.M. &amp; Douglas, K.B.")</f>
        <v>Ellison, M.M. &amp; Douglas, K.B.</v>
      </c>
      <c r="F62" s="5" t="str">
        <f ca="1">IFERROR(__xludf.DUMMYFUNCTION("""COMPUTED_VALUE"""),"Sexuality and the sacred: Sources for theological reflection")</f>
        <v>Sexuality and the sacred: Sources for theological reflection</v>
      </c>
      <c r="G62" s="5" t="str">
        <f ca="1">IFERROR(__xludf.DUMMYFUNCTION("""COMPUTED_VALUE"""),"WJKP")</f>
        <v>WJKP</v>
      </c>
      <c r="H62" s="5">
        <f ca="1">IFERROR(__xludf.DUMMYFUNCTION("""COMPUTED_VALUE"""),2010)</f>
        <v>2010</v>
      </c>
      <c r="I62" s="5" t="str">
        <f ca="1">IFERROR(__xludf.DUMMYFUNCTION("""COMPUTED_VALUE"""),"2nd")</f>
        <v>2nd</v>
      </c>
      <c r="J62" s="5" t="str">
        <f ca="1">IFERROR(__xludf.DUMMYFUNCTION("""COMPUTED_VALUE"""),"066423366X")</f>
        <v>066423366X</v>
      </c>
      <c r="K62" s="5" t="str">
        <f ca="1">IFERROR(__xludf.DUMMYFUNCTION("""COMPUTED_VALUE"""),"30.92")</f>
        <v>30.92</v>
      </c>
      <c r="L62" s="5" t="str">
        <f ca="1">IFERROR(__xludf.DUMMYFUNCTION("""COMPUTED_VALUE"""),"")</f>
        <v/>
      </c>
    </row>
    <row r="63" spans="1:12" ht="14.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4.25" x14ac:dyDescent="0.2">
      <c r="A64" s="5" t="str">
        <f ca="1">IFERROR(__xludf.DUMMYFUNCTION("""COMPUTED_VALUE"""),"PC 3093:  Ministries of Care and Counseling (for MDiv Students)")</f>
        <v>PC 3093:  Ministries of Care and Counseling (for MDiv Students)</v>
      </c>
      <c r="B64" s="5" t="str">
        <f ca="1">IFERROR(__xludf.DUMMYFUNCTION("""COMPUTED_VALUE"""),"Harston, C.")</f>
        <v>Harston, C.</v>
      </c>
      <c r="C64" s="5" t="str">
        <f ca="1">IFERROR(__xludf.DUMMYFUNCTION("""COMPUTED_VALUE"""),"Spring 2021")</f>
        <v>Spring 2021</v>
      </c>
      <c r="D64" s="5" t="str">
        <f ca="1">IFERROR(__xludf.DUMMYFUNCTION("""COMPUTED_VALUE"""),"Required")</f>
        <v>Required</v>
      </c>
      <c r="E64" s="5" t="str">
        <f ca="1">IFERROR(__xludf.DUMMYFUNCTION("""COMPUTED_VALUE"""),"Carrie Doehring")</f>
        <v>Carrie Doehring</v>
      </c>
      <c r="F64" s="5" t="str">
        <f ca="1">IFERROR(__xludf.DUMMYFUNCTION("""COMPUTED_VALUE"""),"The Practice of Pastoral Care, Revised and Expanded Edition: A Postmodern Approach")</f>
        <v>The Practice of Pastoral Care, Revised and Expanded Edition: A Postmodern Approach</v>
      </c>
      <c r="G64" s="5" t="str">
        <f ca="1">IFERROR(__xludf.DUMMYFUNCTION("""COMPUTED_VALUE"""),"Westminster John Knox Press")</f>
        <v>Westminster John Knox Press</v>
      </c>
      <c r="H64" s="5">
        <f ca="1">IFERROR(__xludf.DUMMYFUNCTION("""COMPUTED_VALUE"""),2015)</f>
        <v>2015</v>
      </c>
      <c r="I64" s="5" t="str">
        <f ca="1">IFERROR(__xludf.DUMMYFUNCTION("""COMPUTED_VALUE"""),"Revised and expanded edition")</f>
        <v>Revised and expanded edition</v>
      </c>
      <c r="J64" s="5" t="str">
        <f ca="1">IFERROR(__xludf.DUMMYFUNCTION("""COMPUTED_VALUE"""),"978-0664238407")</f>
        <v>978-0664238407</v>
      </c>
      <c r="K64" s="5" t="str">
        <f ca="1">IFERROR(__xludf.DUMMYFUNCTION("""COMPUTED_VALUE"""),"$30.00 / $19.79")</f>
        <v>$30.00 / $19.79</v>
      </c>
      <c r="L64" s="5" t="str">
        <f ca="1">IFERROR(__xludf.DUMMYFUNCTION("""COMPUTED_VALUE"""),"")</f>
        <v/>
      </c>
    </row>
    <row r="65" spans="1:12" ht="14.25" x14ac:dyDescent="0.2">
      <c r="A65" s="5" t="str">
        <f ca="1">IFERROR(__xludf.DUMMYFUNCTION("""COMPUTED_VALUE"""),"PC 3093:  Ministries of Care and Counseling (for MDiv Students)")</f>
        <v>PC 3093:  Ministries of Care and Counseling (for MDiv Students)</v>
      </c>
      <c r="B65" s="5" t="str">
        <f ca="1">IFERROR(__xludf.DUMMYFUNCTION("""COMPUTED_VALUE"""),"Harston, C.")</f>
        <v>Harston, C.</v>
      </c>
      <c r="C65" s="5" t="str">
        <f ca="1">IFERROR(__xludf.DUMMYFUNCTION("""COMPUTED_VALUE"""),"Spring 2021")</f>
        <v>Spring 2021</v>
      </c>
      <c r="D65" s="5" t="str">
        <f ca="1">IFERROR(__xludf.DUMMYFUNCTION("""COMPUTED_VALUE"""),"Required")</f>
        <v>Required</v>
      </c>
      <c r="E65" s="5" t="str">
        <f ca="1">IFERROR(__xludf.DUMMYFUNCTION("""COMPUTED_VALUE"""),"Serene Jones")</f>
        <v>Serene Jones</v>
      </c>
      <c r="F65" s="5" t="str">
        <f ca="1">IFERROR(__xludf.DUMMYFUNCTION("""COMPUTED_VALUE"""),"Trauma + Grace, Second Edition: Theology in a Ruptured World")</f>
        <v>Trauma + Grace, Second Edition: Theology in a Ruptured World</v>
      </c>
      <c r="G65" s="5" t="str">
        <f ca="1">IFERROR(__xludf.DUMMYFUNCTION("""COMPUTED_VALUE"""),"Westminster John Knox")</f>
        <v>Westminster John Knox</v>
      </c>
      <c r="H65" s="5">
        <f ca="1">IFERROR(__xludf.DUMMYFUNCTION("""COMPUTED_VALUE"""),2019)</f>
        <v>2019</v>
      </c>
      <c r="I65" s="5" t="str">
        <f ca="1">IFERROR(__xludf.DUMMYFUNCTION("""COMPUTED_VALUE"""),"2nd edition")</f>
        <v>2nd edition</v>
      </c>
      <c r="J65" s="5" t="str">
        <f ca="1">IFERROR(__xludf.DUMMYFUNCTION("""COMPUTED_VALUE"""),"978-0664264772")</f>
        <v>978-0664264772</v>
      </c>
      <c r="K65" s="5" t="str">
        <f ca="1">IFERROR(__xludf.DUMMYFUNCTION("""COMPUTED_VALUE"""),"$27.00 / $20.49")</f>
        <v>$27.00 / $20.49</v>
      </c>
      <c r="L65" s="5" t="str">
        <f ca="1">IFERROR(__xludf.DUMMYFUNCTION("""COMPUTED_VALUE"""),"")</f>
        <v/>
      </c>
    </row>
    <row r="66" spans="1:12" ht="14.25" x14ac:dyDescent="0.2">
      <c r="A66" s="5" t="str">
        <f ca="1">IFERROR(__xludf.DUMMYFUNCTION("""COMPUTED_VALUE"""),"PC 3093:  Ministries of Care and Counseling (for MDiv Students)")</f>
        <v>PC 3093:  Ministries of Care and Counseling (for MDiv Students)</v>
      </c>
      <c r="B66" s="5" t="str">
        <f ca="1">IFERROR(__xludf.DUMMYFUNCTION("""COMPUTED_VALUE"""),"Harston, C.")</f>
        <v>Harston, C.</v>
      </c>
      <c r="C66" s="5" t="str">
        <f ca="1">IFERROR(__xludf.DUMMYFUNCTION("""COMPUTED_VALUE"""),"Spring 2021")</f>
        <v>Spring 2021</v>
      </c>
      <c r="D66" s="5" t="str">
        <f ca="1">IFERROR(__xludf.DUMMYFUNCTION("""COMPUTED_VALUE"""),"Required")</f>
        <v>Required</v>
      </c>
      <c r="E66" s="5" t="str">
        <f ca="1">IFERROR(__xludf.DUMMYFUNCTION("""COMPUTED_VALUE"""),"Elaine Ramshaw")</f>
        <v>Elaine Ramshaw</v>
      </c>
      <c r="F66" s="5" t="str">
        <f ca="1">IFERROR(__xludf.DUMMYFUNCTION("""COMPUTED_VALUE"""),"Ritual and Pastoral Care")</f>
        <v>Ritual and Pastoral Care</v>
      </c>
      <c r="G66" s="5" t="str">
        <f ca="1">IFERROR(__xludf.DUMMYFUNCTION("""COMPUTED_VALUE"""),"Fortress Press")</f>
        <v>Fortress Press</v>
      </c>
      <c r="H66" s="5">
        <f ca="1">IFERROR(__xludf.DUMMYFUNCTION("""COMPUTED_VALUE"""),1987)</f>
        <v>1987</v>
      </c>
      <c r="I66" s="5" t="str">
        <f ca="1">IFERROR(__xludf.DUMMYFUNCTION("""COMPUTED_VALUE"""),"1st edition")</f>
        <v>1st edition</v>
      </c>
      <c r="J66" s="5" t="str">
        <f ca="1">IFERROR(__xludf.DUMMYFUNCTION("""COMPUTED_VALUE"""),"978-0800617387")</f>
        <v>978-0800617387</v>
      </c>
      <c r="K66" s="5" t="str">
        <f ca="1">IFERROR(__xludf.DUMMYFUNCTION("""COMPUTED_VALUE"""),"$18.99")</f>
        <v>$18.99</v>
      </c>
      <c r="L66" s="5" t="str">
        <f ca="1">IFERROR(__xludf.DUMMYFUNCTION("""COMPUTED_VALUE"""),"")</f>
        <v/>
      </c>
    </row>
    <row r="67" spans="1:12" ht="14.25" x14ac:dyDescent="0.2">
      <c r="A67" s="5" t="str">
        <f ca="1">IFERROR(__xludf.DUMMYFUNCTION("""COMPUTED_VALUE"""),"PC 3093:  Ministries of Care and Counseling (for MDiv Students)")</f>
        <v>PC 3093:  Ministries of Care and Counseling (for MDiv Students)</v>
      </c>
      <c r="B67" s="5" t="str">
        <f ca="1">IFERROR(__xludf.DUMMYFUNCTION("""COMPUTED_VALUE"""),"Harston, C.")</f>
        <v>Harston, C.</v>
      </c>
      <c r="C67" s="5" t="str">
        <f ca="1">IFERROR(__xludf.DUMMYFUNCTION("""COMPUTED_VALUE"""),"Spring 2021")</f>
        <v>Spring 2021</v>
      </c>
      <c r="D67" s="5" t="str">
        <f ca="1">IFERROR(__xludf.DUMMYFUNCTION("""COMPUTED_VALUE"""),"Required")</f>
        <v>Required</v>
      </c>
      <c r="E67" s="5" t="str">
        <f ca="1">IFERROR(__xludf.DUMMYFUNCTION("""COMPUTED_VALUE"""),"Paul C. Rosenblatt and Beverly R. Wallace")</f>
        <v>Paul C. Rosenblatt and Beverly R. Wallace</v>
      </c>
      <c r="F67" s="5" t="str">
        <f ca="1">IFERROR(__xludf.DUMMYFUNCTION("""COMPUTED_VALUE"""),"African American Grief")</f>
        <v>African American Grief</v>
      </c>
      <c r="G67" s="5" t="str">
        <f ca="1">IFERROR(__xludf.DUMMYFUNCTION("""COMPUTED_VALUE"""),"Routledge")</f>
        <v>Routledge</v>
      </c>
      <c r="H67" s="5">
        <f ca="1">IFERROR(__xludf.DUMMYFUNCTION("""COMPUTED_VALUE"""),2005)</f>
        <v>2005</v>
      </c>
      <c r="I67" s="5" t="str">
        <f ca="1">IFERROR(__xludf.DUMMYFUNCTION("""COMPUTED_VALUE"""),"1st edition")</f>
        <v>1st edition</v>
      </c>
      <c r="J67" s="5" t="str">
        <f ca="1">IFERROR(__xludf.DUMMYFUNCTION("""COMPUTED_VALUE"""),"978-0415951524")</f>
        <v>978-0415951524</v>
      </c>
      <c r="K67" s="5" t="str">
        <f ca="1">IFERROR(__xludf.DUMMYFUNCTION("""COMPUTED_VALUE"""),"/ $44.95")</f>
        <v>/ $44.95</v>
      </c>
      <c r="L67" s="5" t="str">
        <f ca="1">IFERROR(__xludf.DUMMYFUNCTION("""COMPUTED_VALUE"""),"")</f>
        <v/>
      </c>
    </row>
    <row r="68" spans="1:12" ht="14.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4.25" x14ac:dyDescent="0.2">
      <c r="A69" s="5" t="str">
        <f ca="1">IFERROR(__xludf.DUMMYFUNCTION("""COMPUTED_VALUE"""),"PC 3223:  Psychopathology and Pastoral Diagnosis")</f>
        <v>PC 3223:  Psychopathology and Pastoral Diagnosis</v>
      </c>
      <c r="B69" s="5" t="str">
        <f ca="1">IFERROR(__xludf.DUMMYFUNCTION("""COMPUTED_VALUE"""),"Townsend, L.")</f>
        <v>Townsend, L.</v>
      </c>
      <c r="C69" s="5" t="str">
        <f ca="1">IFERROR(__xludf.DUMMYFUNCTION("""COMPUTED_VALUE"""),"Spring 2021")</f>
        <v>Spring 2021</v>
      </c>
      <c r="D69" s="5" t="str">
        <f ca="1">IFERROR(__xludf.DUMMYFUNCTION("""COMPUTED_VALUE"""),"Required")</f>
        <v>Required</v>
      </c>
      <c r="E69" s="5" t="str">
        <f ca="1">IFERROR(__xludf.DUMMYFUNCTION("""COMPUTED_VALUE"""),"Louis G. Castonguay and Thomas F. Oltmanns, eds.")</f>
        <v>Louis G. Castonguay and Thomas F. Oltmanns, eds.</v>
      </c>
      <c r="F69" s="5" t="str">
        <f ca="1">IFERROR(__xludf.DUMMYFUNCTION("""COMPUTED_VALUE"""),"Psychopathology: From Science to Clinical Practice")</f>
        <v>Psychopathology: From Science to Clinical Practice</v>
      </c>
      <c r="G69" s="5" t="str">
        <f ca="1">IFERROR(__xludf.DUMMYFUNCTION("""COMPUTED_VALUE"""),"Guilford")</f>
        <v>Guilford</v>
      </c>
      <c r="H69" s="5">
        <f ca="1">IFERROR(__xludf.DUMMYFUNCTION("""COMPUTED_VALUE"""),2016)</f>
        <v>2016</v>
      </c>
      <c r="I69" s="5" t="str">
        <f ca="1">IFERROR(__xludf.DUMMYFUNCTION("""COMPUTED_VALUE"""),"Reprint edition")</f>
        <v>Reprint edition</v>
      </c>
      <c r="J69" s="5" t="str">
        <f ca="1">IFERROR(__xludf.DUMMYFUNCTION("""COMPUTED_VALUE""")," 978-1462528813")</f>
        <v xml:space="preserve"> 978-1462528813</v>
      </c>
      <c r="K69" s="5" t="str">
        <f ca="1">IFERROR(__xludf.DUMMYFUNCTION("""COMPUTED_VALUE"""),"/ $46.00")</f>
        <v>/ $46.00</v>
      </c>
      <c r="L69" s="5" t="str">
        <f ca="1">IFERROR(__xludf.DUMMYFUNCTION("""COMPUTED_VALUE"""),"")</f>
        <v/>
      </c>
    </row>
    <row r="70" spans="1:12" ht="14.25" x14ac:dyDescent="0.2">
      <c r="A70" s="5" t="str">
        <f ca="1">IFERROR(__xludf.DUMMYFUNCTION("""COMPUTED_VALUE"""),"PC 3223:  Psychopathology and Pastoral Diagnosis")</f>
        <v>PC 3223:  Psychopathology and Pastoral Diagnosis</v>
      </c>
      <c r="B70" s="5" t="str">
        <f ca="1">IFERROR(__xludf.DUMMYFUNCTION("""COMPUTED_VALUE"""),"Townsend, L.")</f>
        <v>Townsend, L.</v>
      </c>
      <c r="C70" s="5" t="str">
        <f ca="1">IFERROR(__xludf.DUMMYFUNCTION("""COMPUTED_VALUE"""),"Spring 2021")</f>
        <v>Spring 2021</v>
      </c>
      <c r="D70" s="5" t="str">
        <f ca="1">IFERROR(__xludf.DUMMYFUNCTION("""COMPUTED_VALUE"""),"Required")</f>
        <v>Required</v>
      </c>
      <c r="E70" s="5" t="str">
        <f ca="1">IFERROR(__xludf.DUMMYFUNCTION("""COMPUTED_VALUE"""),"John Preston and James Johnson")</f>
        <v>John Preston and James Johnson</v>
      </c>
      <c r="F70" s="5" t="str">
        <f ca="1">IFERROR(__xludf.DUMMYFUNCTION("""COMPUTED_VALUE"""),"Clinical Psychopharmacology Made Ridiculously Simple, 8th edition")</f>
        <v>Clinical Psychopharmacology Made Ridiculously Simple, 8th edition</v>
      </c>
      <c r="G70" s="5" t="str">
        <f ca="1">IFERROR(__xludf.DUMMYFUNCTION("""COMPUTED_VALUE"""),"MedMaster Inc.")</f>
        <v>MedMaster Inc.</v>
      </c>
      <c r="H70" s="5">
        <f ca="1">IFERROR(__xludf.DUMMYFUNCTION("""COMPUTED_VALUE"""),2019)</f>
        <v>2019</v>
      </c>
      <c r="I70" s="5" t="str">
        <f ca="1">IFERROR(__xludf.DUMMYFUNCTION("""COMPUTED_VALUE"""),"9th edition")</f>
        <v>9th edition</v>
      </c>
      <c r="J70" s="5" t="str">
        <f ca="1">IFERROR(__xludf.DUMMYFUNCTION("""COMPUTED_VALUE"""),"978-1935660408")</f>
        <v>978-1935660408</v>
      </c>
      <c r="K70" s="5" t="str">
        <f ca="1">IFERROR(__xludf.DUMMYFUNCTION("""COMPUTED_VALUE"""),"$17.95 / $17.05")</f>
        <v>$17.95 / $17.05</v>
      </c>
      <c r="L70" s="5" t="str">
        <f ca="1">IFERROR(__xludf.DUMMYFUNCTION("""COMPUTED_VALUE"""),"")</f>
        <v/>
      </c>
    </row>
    <row r="71" spans="1:12" ht="14.25" x14ac:dyDescent="0.2">
      <c r="A71" s="5" t="str">
        <f ca="1">IFERROR(__xludf.DUMMYFUNCTION("""COMPUTED_VALUE"""),"PC 3223:  Psychopathology and Pastoral Diagnosis")</f>
        <v>PC 3223:  Psychopathology and Pastoral Diagnosis</v>
      </c>
      <c r="B71" s="5" t="str">
        <f ca="1">IFERROR(__xludf.DUMMYFUNCTION("""COMPUTED_VALUE"""),"Townsend, L.")</f>
        <v>Townsend, L.</v>
      </c>
      <c r="C71" s="5" t="str">
        <f ca="1">IFERROR(__xludf.DUMMYFUNCTION("""COMPUTED_VALUE"""),"Spring 2021")</f>
        <v>Spring 2021</v>
      </c>
      <c r="D71" s="5" t="str">
        <f ca="1">IFERROR(__xludf.DUMMYFUNCTION("""COMPUTED_VALUE"""),"Required")</f>
        <v>Required</v>
      </c>
      <c r="E71" s="5" t="str">
        <f ca="1">IFERROR(__xludf.DUMMYFUNCTION("""COMPUTED_VALUE"""),"Jessica A. Russo, J. Kelly Coker, and Jason H. King")</f>
        <v>Jessica A. Russo, J. Kelly Coker, and Jason H. King</v>
      </c>
      <c r="F71" s="5" t="str">
        <f ca="1">IFERROR(__xludf.DUMMYFUNCTION("""COMPUTED_VALUE"""),"DSM-5 and Family Systems")</f>
        <v>DSM-5 and Family Systems</v>
      </c>
      <c r="G71" s="5" t="str">
        <f ca="1">IFERROR(__xludf.DUMMYFUNCTION("""COMPUTED_VALUE"""),"Springer Publishing Company")</f>
        <v>Springer Publishing Company</v>
      </c>
      <c r="H71" s="5">
        <f ca="1">IFERROR(__xludf.DUMMYFUNCTION("""COMPUTED_VALUE"""),2017)</f>
        <v>2017</v>
      </c>
      <c r="I71" s="5" t="str">
        <f ca="1">IFERROR(__xludf.DUMMYFUNCTION("""COMPUTED_VALUE"""),"1st edition")</f>
        <v>1st edition</v>
      </c>
      <c r="J71" s="5" t="str">
        <f ca="1">IFERROR(__xludf.DUMMYFUNCTION("""COMPUTED_VALUE"""),"978-0826183989")</f>
        <v>978-0826183989</v>
      </c>
      <c r="K71" s="5" t="str">
        <f ca="1">IFERROR(__xludf.DUMMYFUNCTION("""COMPUTED_VALUE"""),"")</f>
        <v/>
      </c>
      <c r="L71" s="5" t="str">
        <f ca="1">IFERROR(__xludf.DUMMYFUNCTION("""COMPUTED_VALUE"""),"")</f>
        <v/>
      </c>
    </row>
    <row r="72" spans="1:12" ht="14.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4.25" x14ac:dyDescent="0.2">
      <c r="A73" s="5" t="str">
        <f ca="1">IFERROR(__xludf.DUMMYFUNCTION("""COMPUTED_VALUE"""),"PC 3273:  Gender, Race and Class: Engaging Intersectionality")</f>
        <v>PC 3273:  Gender, Race and Class: Engaging Intersectionality</v>
      </c>
      <c r="B73" s="5" t="str">
        <f ca="1">IFERROR(__xludf.DUMMYFUNCTION("""COMPUTED_VALUE"""),"House, K.")</f>
        <v>House, K.</v>
      </c>
      <c r="C73" s="5" t="str">
        <f ca="1">IFERROR(__xludf.DUMMYFUNCTION("""COMPUTED_VALUE"""),"Spring 2021")</f>
        <v>Spring 2021</v>
      </c>
      <c r="D73" s="5" t="str">
        <f ca="1">IFERROR(__xludf.DUMMYFUNCTION("""COMPUTED_VALUE"""),"Required")</f>
        <v>Required</v>
      </c>
      <c r="E73" s="5" t="str">
        <f ca="1">IFERROR(__xludf.DUMMYFUNCTION("""COMPUTED_VALUE"""),"Grace Ji-Sun Kim and Susan Shaw")</f>
        <v>Grace Ji-Sun Kim and Susan Shaw</v>
      </c>
      <c r="F73" s="5" t="str">
        <f ca="1">IFERROR(__xludf.DUMMYFUNCTION("""COMPUTED_VALUE""")," Intersectional Theology: An Introductory Guide")</f>
        <v xml:space="preserve"> Intersectional Theology: An Introductory Guide</v>
      </c>
      <c r="G73" s="5" t="str">
        <f ca="1">IFERROR(__xludf.DUMMYFUNCTION("""COMPUTED_VALUE"""),"Fortress Press")</f>
        <v>Fortress Press</v>
      </c>
      <c r="H73" s="5">
        <f ca="1">IFERROR(__xludf.DUMMYFUNCTION("""COMPUTED_VALUE"""),2018)</f>
        <v>2018</v>
      </c>
      <c r="I73" s="5" t="str">
        <f ca="1">IFERROR(__xludf.DUMMYFUNCTION("""COMPUTED_VALUE"""),"N/A")</f>
        <v>N/A</v>
      </c>
      <c r="J73" s="5" t="str">
        <f ca="1">IFERROR(__xludf.DUMMYFUNCTION("""COMPUTED_VALUE"""),"9781506446103")</f>
        <v>9781506446103</v>
      </c>
      <c r="K73" s="5" t="str">
        <f ca="1">IFERROR(__xludf.DUMMYFUNCTION("""COMPUTED_VALUE"""),"$29/$29")</f>
        <v>$29/$29</v>
      </c>
      <c r="L73" s="5" t="str">
        <f ca="1">IFERROR(__xludf.DUMMYFUNCTION("""COMPUTED_VALUE"""),"")</f>
        <v/>
      </c>
    </row>
    <row r="74" spans="1:12" ht="14.25" x14ac:dyDescent="0.2">
      <c r="A74" s="5" t="str">
        <f ca="1">IFERROR(__xludf.DUMMYFUNCTION("""COMPUTED_VALUE"""),"PC 3273:  Gender, Race and Class: Engaging Intersectionality")</f>
        <v>PC 3273:  Gender, Race and Class: Engaging Intersectionality</v>
      </c>
      <c r="B74" s="5" t="str">
        <f ca="1">IFERROR(__xludf.DUMMYFUNCTION("""COMPUTED_VALUE"""),"House, K.")</f>
        <v>House, K.</v>
      </c>
      <c r="C74" s="5" t="str">
        <f ca="1">IFERROR(__xludf.DUMMYFUNCTION("""COMPUTED_VALUE"""),"Spring 2021")</f>
        <v>Spring 2021</v>
      </c>
      <c r="D74" s="5" t="str">
        <f ca="1">IFERROR(__xludf.DUMMYFUNCTION("""COMPUTED_VALUE"""),"Required")</f>
        <v>Required</v>
      </c>
      <c r="E74" s="5" t="str">
        <f ca="1">IFERROR(__xludf.DUMMYFUNCTION("""COMPUTED_VALUE"""),"Pamela Lightsey")</f>
        <v>Pamela Lightsey</v>
      </c>
      <c r="F74" s="5" t="str">
        <f ca="1">IFERROR(__xludf.DUMMYFUNCTION("""COMPUTED_VALUE"""),"Our Lives Matter: A Womanist Queer Theology")</f>
        <v>Our Lives Matter: A Womanist Queer Theology</v>
      </c>
      <c r="G74" s="5" t="str">
        <f ca="1">IFERROR(__xludf.DUMMYFUNCTION("""COMPUTED_VALUE"""),"Wipf and Stock")</f>
        <v>Wipf and Stock</v>
      </c>
      <c r="H74" s="5">
        <f ca="1">IFERROR(__xludf.DUMMYFUNCTION("""COMPUTED_VALUE"""),2015)</f>
        <v>2015</v>
      </c>
      <c r="I74" s="5" t="str">
        <f ca="1">IFERROR(__xludf.DUMMYFUNCTION("""COMPUTED_VALUE"""),"N/A")</f>
        <v>N/A</v>
      </c>
      <c r="J74" s="5" t="str">
        <f ca="1">IFERROR(__xludf.DUMMYFUNCTION("""COMPUTED_VALUE"""),"1498206646")</f>
        <v>1498206646</v>
      </c>
      <c r="K74" s="5" t="str">
        <f ca="1">IFERROR(__xludf.DUMMYFUNCTION("""COMPUTED_VALUE"""),"$14.40/$18")</f>
        <v>$14.40/$18</v>
      </c>
      <c r="L74" s="5" t="str">
        <f ca="1">IFERROR(__xludf.DUMMYFUNCTION("""COMPUTED_VALUE"""),"")</f>
        <v/>
      </c>
    </row>
    <row r="75" spans="1:12" ht="14.25" x14ac:dyDescent="0.2">
      <c r="A75" s="5" t="str">
        <f ca="1">IFERROR(__xludf.DUMMYFUNCTION("""COMPUTED_VALUE"""),"PC 3273:  Gender, Race and Class: Engaging Intersectionality")</f>
        <v>PC 3273:  Gender, Race and Class: Engaging Intersectionality</v>
      </c>
      <c r="B75" s="5" t="str">
        <f ca="1">IFERROR(__xludf.DUMMYFUNCTION("""COMPUTED_VALUE"""),"House, K.")</f>
        <v>House, K.</v>
      </c>
      <c r="C75" s="5" t="str">
        <f ca="1">IFERROR(__xludf.DUMMYFUNCTION("""COMPUTED_VALUE"""),"Spring 2021")</f>
        <v>Spring 2021</v>
      </c>
      <c r="D75" s="5" t="str">
        <f ca="1">IFERROR(__xludf.DUMMYFUNCTION("""COMPUTED_VALUE"""),"Required")</f>
        <v>Required</v>
      </c>
      <c r="E75" s="5" t="str">
        <f ca="1">IFERROR(__xludf.DUMMYFUNCTION("""COMPUTED_VALUE"""),"Sheryl A. Kujawa-Holbrook and Karen B. Montagno")</f>
        <v>Sheryl A. Kujawa-Holbrook and Karen B. Montagno</v>
      </c>
      <c r="F75" s="5" t="str">
        <f ca="1">IFERROR(__xludf.DUMMYFUNCTION("""COMPUTED_VALUE"""),"Injustice and the Care of Souls: Taking Oppression Seriously in Pastoral Care")</f>
        <v>Injustice and the Care of Souls: Taking Oppression Seriously in Pastoral Care</v>
      </c>
      <c r="G75" s="5" t="str">
        <f ca="1">IFERROR(__xludf.DUMMYFUNCTION("""COMPUTED_VALUE"""),"Fortress Press")</f>
        <v>Fortress Press</v>
      </c>
      <c r="H75" s="5">
        <f ca="1">IFERROR(__xludf.DUMMYFUNCTION("""COMPUTED_VALUE"""),2009)</f>
        <v>2009</v>
      </c>
      <c r="I75" s="5" t="str">
        <f ca="1">IFERROR(__xludf.DUMMYFUNCTION("""COMPUTED_VALUE"""),"N/A")</f>
        <v>N/A</v>
      </c>
      <c r="J75" s="5" t="str">
        <f ca="1">IFERROR(__xludf.DUMMYFUNCTION("""COMPUTED_VALUE"""),"0800662350")</f>
        <v>0800662350</v>
      </c>
      <c r="K75" s="5" t="str">
        <f ca="1">IFERROR(__xludf.DUMMYFUNCTION("""COMPUTED_VALUE"""),"34/32.72")</f>
        <v>34/32.72</v>
      </c>
      <c r="L75" s="5" t="str">
        <f ca="1">IFERROR(__xludf.DUMMYFUNCTION("""COMPUTED_VALUE"""),"")</f>
        <v/>
      </c>
    </row>
    <row r="76" spans="1:12" ht="14.25" x14ac:dyDescent="0.2">
      <c r="A76" s="5" t="str">
        <f ca="1">IFERROR(__xludf.DUMMYFUNCTION("""COMPUTED_VALUE"""),"PC 3273:  Gender, Race and Class: Engaging Intersectionality")</f>
        <v>PC 3273:  Gender, Race and Class: Engaging Intersectionality</v>
      </c>
      <c r="B76" s="5" t="str">
        <f ca="1">IFERROR(__xludf.DUMMYFUNCTION("""COMPUTED_VALUE"""),"House, K.")</f>
        <v>House, K.</v>
      </c>
      <c r="C76" s="5" t="str">
        <f ca="1">IFERROR(__xludf.DUMMYFUNCTION("""COMPUTED_VALUE"""),"Spring 2021")</f>
        <v>Spring 2021</v>
      </c>
      <c r="D76" s="5" t="str">
        <f ca="1">IFERROR(__xludf.DUMMYFUNCTION("""COMPUTED_VALUE"""),"Required")</f>
        <v>Required</v>
      </c>
      <c r="E76" s="5" t="str">
        <f ca="1">IFERROR(__xludf.DUMMYFUNCTION("""COMPUTED_VALUE"""),"Patrick Reyes")</f>
        <v>Patrick Reyes</v>
      </c>
      <c r="F76" s="5" t="str">
        <f ca="1">IFERROR(__xludf.DUMMYFUNCTION("""COMPUTED_VALUE"""),"Nobody Cries When We Die: God, Community, and Surviving to Adulthood.")</f>
        <v>Nobody Cries When We Die: God, Community, and Surviving to Adulthood.</v>
      </c>
      <c r="G76" s="5" t="str">
        <f ca="1">IFERROR(__xludf.DUMMYFUNCTION("""COMPUTED_VALUE"""),"Chalice Press")</f>
        <v>Chalice Press</v>
      </c>
      <c r="H76" s="5">
        <f ca="1">IFERROR(__xludf.DUMMYFUNCTION("""COMPUTED_VALUE"""),2016)</f>
        <v>2016</v>
      </c>
      <c r="I76" s="5" t="str">
        <f ca="1">IFERROR(__xludf.DUMMYFUNCTION("""COMPUTED_VALUE"""),"N/A")</f>
        <v>N/A</v>
      </c>
      <c r="J76" s="5" t="str">
        <f ca="1">IFERROR(__xludf.DUMMYFUNCTION("""COMPUTED_VALUE"""),"9780827225312")</f>
        <v>9780827225312</v>
      </c>
      <c r="K76" s="5" t="str">
        <f ca="1">IFERROR(__xludf.DUMMYFUNCTION("""COMPUTED_VALUE"""),"$19.99/13.49")</f>
        <v>$19.99/13.49</v>
      </c>
      <c r="L76" s="5" t="str">
        <f ca="1">IFERROR(__xludf.DUMMYFUNCTION("""COMPUTED_VALUE"""),"")</f>
        <v/>
      </c>
    </row>
    <row r="77" spans="1:12" ht="14.25" x14ac:dyDescent="0.2">
      <c r="A77" s="5" t="str">
        <f ca="1">IFERROR(__xludf.DUMMYFUNCTION("""COMPUTED_VALUE"""),"PC 3273:  Gender, Race and Class: Engaging Intersectionality")</f>
        <v>PC 3273:  Gender, Race and Class: Engaging Intersectionality</v>
      </c>
      <c r="B77" s="5" t="str">
        <f ca="1">IFERROR(__xludf.DUMMYFUNCTION("""COMPUTED_VALUE"""),"House, K.")</f>
        <v>House, K.</v>
      </c>
      <c r="C77" s="5" t="str">
        <f ca="1">IFERROR(__xludf.DUMMYFUNCTION("""COMPUTED_VALUE"""),"Spring 2021")</f>
        <v>Spring 2021</v>
      </c>
      <c r="D77" s="5" t="str">
        <f ca="1">IFERROR(__xludf.DUMMYFUNCTION("""COMPUTED_VALUE"""),"Required")</f>
        <v>Required</v>
      </c>
      <c r="E77" s="5" t="str">
        <f ca="1">IFERROR(__xludf.DUMMYFUNCTION("""COMPUTED_VALUE"""),"HyeRan Kim-Cragg")</f>
        <v>HyeRan Kim-Cragg</v>
      </c>
      <c r="F77" s="5" t="str">
        <f ca="1">IFERROR(__xludf.DUMMYFUNCTION("""COMPUTED_VALUE"""),"Interdependence: A Postcolonial Feminist Practical Theology")</f>
        <v>Interdependence: A Postcolonial Feminist Practical Theology</v>
      </c>
      <c r="G77" s="5" t="str">
        <f ca="1">IFERROR(__xludf.DUMMYFUNCTION("""COMPUTED_VALUE"""),"Wipf and Stock")</f>
        <v>Wipf and Stock</v>
      </c>
      <c r="H77" s="5">
        <f ca="1">IFERROR(__xludf.DUMMYFUNCTION("""COMPUTED_VALUE"""),2018)</f>
        <v>2018</v>
      </c>
      <c r="I77" s="5" t="str">
        <f ca="1">IFERROR(__xludf.DUMMYFUNCTION("""COMPUTED_VALUE"""),"N/A")</f>
        <v>N/A</v>
      </c>
      <c r="J77" s="5" t="str">
        <f ca="1">IFERROR(__xludf.DUMMYFUNCTION("""COMPUTED_VALUE"""),"1532617240")</f>
        <v>1532617240</v>
      </c>
      <c r="K77" s="5" t="str">
        <f ca="1">IFERROR(__xludf.DUMMYFUNCTION("""COMPUTED_VALUE"""),"19.20/11.92")</f>
        <v>19.20/11.92</v>
      </c>
      <c r="L77" s="5" t="str">
        <f ca="1">IFERROR(__xludf.DUMMYFUNCTION("""COMPUTED_VALUE"""),"")</f>
        <v/>
      </c>
    </row>
    <row r="78" spans="1:12" ht="14.25" x14ac:dyDescent="0.2">
      <c r="A78" s="5" t="str">
        <f ca="1">IFERROR(__xludf.DUMMYFUNCTION("""COMPUTED_VALUE"""),"PC 3273:  Gender, Race and Class: Engaging Intersectionality")</f>
        <v>PC 3273:  Gender, Race and Class: Engaging Intersectionality</v>
      </c>
      <c r="B78" s="5" t="str">
        <f ca="1">IFERROR(__xludf.DUMMYFUNCTION("""COMPUTED_VALUE"""),"House, K.")</f>
        <v>House, K.</v>
      </c>
      <c r="C78" s="5" t="str">
        <f ca="1">IFERROR(__xludf.DUMMYFUNCTION("""COMPUTED_VALUE"""),"Spring 2021")</f>
        <v>Spring 2021</v>
      </c>
      <c r="D78" s="5" t="str">
        <f ca="1">IFERROR(__xludf.DUMMYFUNCTION("""COMPUTED_VALUE"""),"Required")</f>
        <v>Required</v>
      </c>
      <c r="E78" s="5" t="str">
        <f ca="1">IFERROR(__xludf.DUMMYFUNCTION("""COMPUTED_VALUE"""),"Resmaa Menakem")</f>
        <v>Resmaa Menakem</v>
      </c>
      <c r="F78" s="5" t="str">
        <f ca="1">IFERROR(__xludf.DUMMYFUNCTION("""COMPUTED_VALUE"""),"My Grandmother's Hands: Racialized Trauma and the Pathway to Mending Our Hearts and Bodies")</f>
        <v>My Grandmother's Hands: Racialized Trauma and the Pathway to Mending Our Hearts and Bodies</v>
      </c>
      <c r="G78" s="5" t="str">
        <f ca="1">IFERROR(__xludf.DUMMYFUNCTION("""COMPUTED_VALUE"""),"Central Recovery Press")</f>
        <v>Central Recovery Press</v>
      </c>
      <c r="H78" s="5">
        <f ca="1">IFERROR(__xludf.DUMMYFUNCTION("""COMPUTED_VALUE"""),2017)</f>
        <v>2017</v>
      </c>
      <c r="I78" s="5" t="str">
        <f ca="1">IFERROR(__xludf.DUMMYFUNCTION("""COMPUTED_VALUE"""),"N/A")</f>
        <v>N/A</v>
      </c>
      <c r="J78" s="5" t="str">
        <f ca="1">IFERROR(__xludf.DUMMYFUNCTION("""COMPUTED_VALUE"""),"1942094477")</f>
        <v>1942094477</v>
      </c>
      <c r="K78" s="5" t="str">
        <f ca="1">IFERROR(__xludf.DUMMYFUNCTION("""COMPUTED_VALUE"""),"17.92/15.42")</f>
        <v>17.92/15.42</v>
      </c>
      <c r="L78" s="5" t="str">
        <f ca="1">IFERROR(__xludf.DUMMYFUNCTION("""COMPUTED_VALUE"""),"")</f>
        <v/>
      </c>
    </row>
    <row r="79" spans="1:12" ht="14.25" x14ac:dyDescent="0.2">
      <c r="A79" s="5" t="str">
        <f ca="1">IFERROR(__xludf.DUMMYFUNCTION("""COMPUTED_VALUE"""),"PC 3273:  Gender, Race and Class: Engaging Intersectionality")</f>
        <v>PC 3273:  Gender, Race and Class: Engaging Intersectionality</v>
      </c>
      <c r="B79" s="5" t="str">
        <f ca="1">IFERROR(__xludf.DUMMYFUNCTION("""COMPUTED_VALUE"""),"House, K.")</f>
        <v>House, K.</v>
      </c>
      <c r="C79" s="5" t="str">
        <f ca="1">IFERROR(__xludf.DUMMYFUNCTION("""COMPUTED_VALUE"""),"Spring 2021")</f>
        <v>Spring 2021</v>
      </c>
      <c r="D79" s="5" t="str">
        <f ca="1">IFERROR(__xludf.DUMMYFUNCTION("""COMPUTED_VALUE"""),"Required")</f>
        <v>Required</v>
      </c>
      <c r="E79" s="5" t="str">
        <f ca="1">IFERROR(__xludf.DUMMYFUNCTION("""COMPUTED_VALUE"""),"Traci West  ")</f>
        <v xml:space="preserve">Traci West  </v>
      </c>
      <c r="F79" s="5" t="str">
        <f ca="1">IFERROR(__xludf.DUMMYFUNCTION("""COMPUTED_VALUE"""),"Disruptive Christian Ethics: When Racism and Women's Lives Matter")</f>
        <v>Disruptive Christian Ethics: When Racism and Women's Lives Matter</v>
      </c>
      <c r="G79" s="5" t="str">
        <f ca="1">IFERROR(__xludf.DUMMYFUNCTION("""COMPUTED_VALUE"""),"Westminster John Knox Press")</f>
        <v>Westminster John Knox Press</v>
      </c>
      <c r="H79" s="5">
        <f ca="1">IFERROR(__xludf.DUMMYFUNCTION("""COMPUTED_VALUE"""),2006)</f>
        <v>2006</v>
      </c>
      <c r="I79" s="5" t="str">
        <f ca="1">IFERROR(__xludf.DUMMYFUNCTION("""COMPUTED_VALUE"""),"N/A")</f>
        <v>N/A</v>
      </c>
      <c r="J79" s="5" t="str">
        <f ca="1">IFERROR(__xludf.DUMMYFUNCTION("""COMPUTED_VALUE"""),"066422959X")</f>
        <v>066422959X</v>
      </c>
      <c r="K79" s="5" t="str">
        <f ca="1">IFERROR(__xludf.DUMMYFUNCTION("""COMPUTED_VALUE"""),"30/25")</f>
        <v>30/25</v>
      </c>
      <c r="L79" s="5" t="str">
        <f ca="1">IFERROR(__xludf.DUMMYFUNCTION("""COMPUTED_VALUE"""),"")</f>
        <v/>
      </c>
    </row>
    <row r="80" spans="1:12" ht="14.25" x14ac:dyDescent="0.2">
      <c r="A80" s="5" t="str">
        <f ca="1">IFERROR(__xludf.DUMMYFUNCTION("""COMPUTED_VALUE"""),"PC 3273:  Gender, Race and Class: Engaging Intersectionality")</f>
        <v>PC 3273:  Gender, Race and Class: Engaging Intersectionality</v>
      </c>
      <c r="B80" s="5" t="str">
        <f ca="1">IFERROR(__xludf.DUMMYFUNCTION("""COMPUTED_VALUE"""),"House, K.")</f>
        <v>House, K.</v>
      </c>
      <c r="C80" s="5" t="str">
        <f ca="1">IFERROR(__xludf.DUMMYFUNCTION("""COMPUTED_VALUE"""),"Spring 2021")</f>
        <v>Spring 2021</v>
      </c>
      <c r="D80" s="5" t="str">
        <f ca="1">IFERROR(__xludf.DUMMYFUNCTION("""COMPUTED_VALUE"""),"Required")</f>
        <v>Required</v>
      </c>
      <c r="E80" s="5" t="str">
        <f ca="1">IFERROR(__xludf.DUMMYFUNCTION("""COMPUTED_VALUE"""),"Miliann Kang, Donovan Lessard, Laura Heston, and Sonny Nordmarken")</f>
        <v>Miliann Kang, Donovan Lessard, Laura Heston, and Sonny Nordmarken</v>
      </c>
      <c r="F80" s="5" t="str">
        <f ca="1">IFERROR(__xludf.DUMMYFUNCTION("""COMPUTED_VALUE"""),"Introduction to Women, Gender, Sexuality Studies; (Free online book:  https://openbooks.library.umass.edu/introwgss/)")</f>
        <v>Introduction to Women, Gender, Sexuality Studies; (Free online book:  https://openbooks.library.umass.edu/introwgss/)</v>
      </c>
      <c r="G80" s="5" t="str">
        <f ca="1">IFERROR(__xludf.DUMMYFUNCTION("""COMPUTED_VALUE"""),"University of Massachusetts Amherst Libraries")</f>
        <v>University of Massachusetts Amherst Libraries</v>
      </c>
      <c r="H80" s="5">
        <f ca="1">IFERROR(__xludf.DUMMYFUNCTION("""COMPUTED_VALUE"""),2017)</f>
        <v>2017</v>
      </c>
      <c r="I80" s="5" t="str">
        <f ca="1">IFERROR(__xludf.DUMMYFUNCTION("""COMPUTED_VALUE"""),"NA")</f>
        <v>NA</v>
      </c>
      <c r="J80" s="5" t="str">
        <f ca="1">IFERROR(__xludf.DUMMYFUNCTION("""COMPUTED_VALUE"""),"NA")</f>
        <v>NA</v>
      </c>
      <c r="K80" s="5" t="str">
        <f ca="1">IFERROR(__xludf.DUMMYFUNCTION("""COMPUTED_VALUE"""),"NA")</f>
        <v>NA</v>
      </c>
      <c r="L80" s="5" t="str">
        <f ca="1">IFERROR(__xludf.DUMMYFUNCTION("""COMPUTED_VALUE"""),"Free online book:  https://openbooks.library.umass.edu/introwgss/")</f>
        <v>Free online book:  https://openbooks.library.umass.edu/introwgss/</v>
      </c>
    </row>
    <row r="81" spans="1:12" ht="14.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4.25" x14ac:dyDescent="0.2">
      <c r="A82" s="5" t="str">
        <f ca="1">IFERROR(__xludf.DUMMYFUNCTION("""COMPUTED_VALUE"""),"SM 1102:  Reflection Group (1st-year MDiv, MAMFT, MAR)")</f>
        <v>SM 1102:  Reflection Group (1st-year MDiv, MAMFT, MAR)</v>
      </c>
      <c r="B82" s="5" t="str">
        <f ca="1">IFERROR(__xludf.DUMMYFUNCTION("""COMPUTED_VALUE"""),"Earles, L., Reed, J. &amp; Pauw, A.")</f>
        <v>Earles, L., Reed, J. &amp; Pauw, A.</v>
      </c>
      <c r="C82" s="5" t="str">
        <f ca="1">IFERROR(__xludf.DUMMYFUNCTION("""COMPUTED_VALUE"""),"Spring 2021")</f>
        <v>Spring 2021</v>
      </c>
      <c r="D82" s="5" t="str">
        <f ca="1">IFERROR(__xludf.DUMMYFUNCTION("""COMPUTED_VALUE"""),"Required")</f>
        <v>Required</v>
      </c>
      <c r="E82" s="5" t="str">
        <f ca="1">IFERROR(__xludf.DUMMYFUNCTION("""COMPUTED_VALUE"""),"Patterson, S.J.")</f>
        <v>Patterson, S.J.</v>
      </c>
      <c r="F82" s="5" t="str">
        <f ca="1">IFERROR(__xludf.DUMMYFUNCTION("""COMPUTED_VALUE"""),"The forgotten creed: Christianity's original struggle against bigotry, slavery, and sexism")</f>
        <v>The forgotten creed: Christianity's original struggle against bigotry, slavery, and sexism</v>
      </c>
      <c r="G82" s="5" t="str">
        <f ca="1">IFERROR(__xludf.DUMMYFUNCTION("""COMPUTED_VALUE"""),"Oxford University Press")</f>
        <v>Oxford University Press</v>
      </c>
      <c r="H82" s="5">
        <f ca="1">IFERROR(__xludf.DUMMYFUNCTION("""COMPUTED_VALUE"""),2018)</f>
        <v>2018</v>
      </c>
      <c r="I82" s="5" t="str">
        <f ca="1">IFERROR(__xludf.DUMMYFUNCTION("""COMPUTED_VALUE"""),"1st")</f>
        <v>1st</v>
      </c>
      <c r="J82" s="5" t="str">
        <f ca="1">IFERROR(__xludf.DUMMYFUNCTION("""COMPUTED_VALUE"""),"978-0190865825")</f>
        <v>978-0190865825</v>
      </c>
      <c r="K82" s="5" t="str">
        <f ca="1">IFERROR(__xludf.DUMMYFUNCTION("""COMPUTED_VALUE"""),"23.34")</f>
        <v>23.34</v>
      </c>
      <c r="L82" s="5"/>
    </row>
    <row r="83" spans="1:12" ht="14.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4.25" x14ac:dyDescent="0.2">
      <c r="A84" s="5" t="str">
        <f ca="1">IFERROR(__xludf.DUMMYFUNCTION("""COMPUTED_VALUE"""),"SM 1212:  Reflection Group (2nd-Year MAMFT)")</f>
        <v>SM 1212:  Reflection Group (2nd-Year MAMFT)</v>
      </c>
      <c r="B84" s="5" t="str">
        <f ca="1">IFERROR(__xludf.DUMMYFUNCTION("""COMPUTED_VALUE"""),"Hicks, A.")</f>
        <v>Hicks, A.</v>
      </c>
      <c r="C84" s="5" t="str">
        <f ca="1">IFERROR(__xludf.DUMMYFUNCTION("""COMPUTED_VALUE"""),"Spring 2021")</f>
        <v>Spring 2021</v>
      </c>
      <c r="D84" s="5" t="str">
        <f ca="1">IFERROR(__xludf.DUMMYFUNCTION("""COMPUTED_VALUE"""),"Required")</f>
        <v>Required</v>
      </c>
      <c r="E84" s="5" t="str">
        <f ca="1">IFERROR(__xludf.DUMMYFUNCTION("""COMPUTED_VALUE"""),"Sisemore, T. A., &amp; Knabb, J. J. (Eds)")</f>
        <v>Sisemore, T. A., &amp; Knabb, J. J. (Eds)</v>
      </c>
      <c r="F84" s="5" t="str">
        <f ca="1">IFERROR(__xludf.DUMMYFUNCTION("""COMPUTED_VALUE"""),"The Psychology of World Religions and Spiritualities: An Indigenous Perspective. ")</f>
        <v xml:space="preserve">The Psychology of World Religions and Spiritualities: An Indigenous Perspective. </v>
      </c>
      <c r="G84" s="5" t="str">
        <f ca="1">IFERROR(__xludf.DUMMYFUNCTION("""COMPUTED_VALUE"""),"Templeton Foundation Press")</f>
        <v>Templeton Foundation Press</v>
      </c>
      <c r="H84" s="5">
        <f ca="1">IFERROR(__xludf.DUMMYFUNCTION("""COMPUTED_VALUE"""),2020)</f>
        <v>2020</v>
      </c>
      <c r="I84" s="5" t="str">
        <f ca="1">IFERROR(__xludf.DUMMYFUNCTION("""COMPUTED_VALUE"""),"1st")</f>
        <v>1st</v>
      </c>
      <c r="J84" s="5" t="str">
        <f ca="1">IFERROR(__xludf.DUMMYFUNCTION("""COMPUTED_VALUE"""),"978-1599475769")</f>
        <v>978-1599475769</v>
      </c>
      <c r="K84" s="5" t="str">
        <f ca="1">IFERROR(__xludf.DUMMYFUNCTION("""COMPUTED_VALUE"""),"12.98")</f>
        <v>12.98</v>
      </c>
      <c r="L84" s="5" t="str">
        <f ca="1">IFERROR(__xludf.DUMMYFUNCTION("""COMPUTED_VALUE"""),"")</f>
        <v/>
      </c>
    </row>
    <row r="85" spans="1:12" ht="14.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4.25" x14ac:dyDescent="0.2">
      <c r="A86" s="5" t="str">
        <f ca="1">IFERROR(__xludf.DUMMYFUNCTION("""COMPUTED_VALUE"""),"SM 2021:  Interspirituality and a Theology of Technology")</f>
        <v>SM 2021:  Interspirituality and a Theology of Technology</v>
      </c>
      <c r="B86" s="5" t="str">
        <f ca="1">IFERROR(__xludf.DUMMYFUNCTION("""COMPUTED_VALUE"""),"Coleman, A.")</f>
        <v>Coleman, A.</v>
      </c>
      <c r="C86" s="5" t="str">
        <f ca="1">IFERROR(__xludf.DUMMYFUNCTION("""COMPUTED_VALUE"""),"Spring 2021")</f>
        <v>Spring 2021</v>
      </c>
      <c r="D86" s="5" t="str">
        <f ca="1">IFERROR(__xludf.DUMMYFUNCTION("""COMPUTED_VALUE"""),"Required")</f>
        <v>Required</v>
      </c>
      <c r="E86" s="5" t="str">
        <f ca="1">IFERROR(__xludf.DUMMYFUNCTION("""COMPUTED_VALUE"""),"Russill Paul")</f>
        <v>Russill Paul</v>
      </c>
      <c r="F86" s="5" t="str">
        <f ca="1">IFERROR(__xludf.DUMMYFUNCTION("""COMPUTED_VALUE"""),"Jesus in the Lotus: The Mystical Doorway between Christianity and Yogic Spirituality")</f>
        <v>Jesus in the Lotus: The Mystical Doorway between Christianity and Yogic Spirituality</v>
      </c>
      <c r="G86" s="5" t="str">
        <f ca="1">IFERROR(__xludf.DUMMYFUNCTION("""COMPUTED_VALUE"""),"New World Library")</f>
        <v>New World Library</v>
      </c>
      <c r="H86" s="5">
        <f ca="1">IFERROR(__xludf.DUMMYFUNCTION("""COMPUTED_VALUE"""),2009)</f>
        <v>2009</v>
      </c>
      <c r="I86" s="5" t="str">
        <f ca="1">IFERROR(__xludf.DUMMYFUNCTION("""COMPUTED_VALUE"""),"Only one edition - published 2009")</f>
        <v>Only one edition - published 2009</v>
      </c>
      <c r="J86" s="5" t="str">
        <f ca="1">IFERROR(__xludf.DUMMYFUNCTION("""COMPUTED_VALUE"""),"978-1-57731-627-5")</f>
        <v>978-1-57731-627-5</v>
      </c>
      <c r="K86" s="5" t="str">
        <f ca="1">IFERROR(__xludf.DUMMYFUNCTION("""COMPUTED_VALUE"""),"New: $14.95 and sells used for $3.00 and up")</f>
        <v>New: $14.95 and sells used for $3.00 and up</v>
      </c>
      <c r="L86" s="5" t="str">
        <f ca="1">IFERROR(__xludf.DUMMYFUNCTION("""COMPUTED_VALUE"""),"")</f>
        <v/>
      </c>
    </row>
    <row r="87" spans="1:12" ht="14.25" x14ac:dyDescent="0.2">
      <c r="A87" s="5" t="str">
        <f ca="1">IFERROR(__xludf.DUMMYFUNCTION("""COMPUTED_VALUE"""),"SM 2021:  Interspirituality and a Theology of Technology")</f>
        <v>SM 2021:  Interspirituality and a Theology of Technology</v>
      </c>
      <c r="B87" s="5" t="str">
        <f ca="1">IFERROR(__xludf.DUMMYFUNCTION("""COMPUTED_VALUE"""),"Coleman, A.")</f>
        <v>Coleman, A.</v>
      </c>
      <c r="C87" s="5" t="str">
        <f ca="1">IFERROR(__xludf.DUMMYFUNCTION("""COMPUTED_VALUE"""),"Spring 2021")</f>
        <v>Spring 2021</v>
      </c>
      <c r="D87" s="5" t="str">
        <f ca="1">IFERROR(__xludf.DUMMYFUNCTION("""COMPUTED_VALUE"""),"Required")</f>
        <v>Required</v>
      </c>
      <c r="E87" s="5" t="str">
        <f ca="1">IFERROR(__xludf.DUMMYFUNCTION("""COMPUTED_VALUE"""),"Russill Paul (music)")</f>
        <v>Russill Paul (music)</v>
      </c>
      <c r="F87" s="5" t="str">
        <f ca="1">IFERROR(__xludf.DUMMYFUNCTION("""COMPUTED_VALUE"""),"Bhava (Ecstatic Heart)")</f>
        <v>Bhava (Ecstatic Heart)</v>
      </c>
      <c r="G87" s="5" t="str">
        <f ca="1">IFERROR(__xludf.DUMMYFUNCTION("""COMPUTED_VALUE"""),"The Relaxation Company")</f>
        <v>The Relaxation Company</v>
      </c>
      <c r="H87" s="5">
        <f ca="1">IFERROR(__xludf.DUMMYFUNCTION("""COMPUTED_VALUE"""),2019)</f>
        <v>2019</v>
      </c>
      <c r="I87" s="5" t="str">
        <f ca="1">IFERROR(__xludf.DUMMYFUNCTION("""COMPUTED_VALUE"""),"2019")</f>
        <v>2019</v>
      </c>
      <c r="J87" s="5" t="str">
        <f ca="1">IFERROR(__xludf.DUMMYFUNCTION("""COMPUTED_VALUE"""),"Music")</f>
        <v>Music</v>
      </c>
      <c r="K87" s="5" t="str">
        <f ca="1">IFERROR(__xludf.DUMMYFUNCTION("""COMPUTED_VALUE"""),"$9.49 MP3 on Amazon and $19.49 for Audio CD")</f>
        <v>$9.49 MP3 on Amazon and $19.49 for Audio CD</v>
      </c>
      <c r="L87" s="5" t="str">
        <f ca="1">IFERROR(__xludf.DUMMYFUNCTION("""COMPUTED_VALUE"""),"")</f>
        <v/>
      </c>
    </row>
    <row r="88" spans="1:12" ht="14.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4.25" x14ac:dyDescent="0.2">
      <c r="A89" s="5" t="str">
        <f ca="1">IFERROR(__xludf.DUMMYFUNCTION("""COMPUTED_VALUE"""),"SM: 3003:  Faith and Violence (Big Question Course)")</f>
        <v>SM: 3003:  Faith and Violence (Big Question Course)</v>
      </c>
      <c r="B89" s="5" t="str">
        <f ca="1">IFERROR(__xludf.DUMMYFUNCTION("""COMPUTED_VALUE"""),"Craigo-Snell, S. &amp; Pauw, A.")</f>
        <v>Craigo-Snell, S. &amp; Pauw, A.</v>
      </c>
      <c r="C89" s="5" t="str">
        <f ca="1">IFERROR(__xludf.DUMMYFUNCTION("""COMPUTED_VALUE"""),"Spring 2021")</f>
        <v>Spring 2021</v>
      </c>
      <c r="D89" s="5" t="str">
        <f ca="1">IFERROR(__xludf.DUMMYFUNCTION("""COMPUTED_VALUE"""),"Required")</f>
        <v>Required</v>
      </c>
      <c r="E89" s="5" t="str">
        <f ca="1">IFERROR(__xludf.DUMMYFUNCTION("""COMPUTED_VALUE"""),"Resmaa Menakem")</f>
        <v>Resmaa Menakem</v>
      </c>
      <c r="F89" s="5" t="str">
        <f ca="1">IFERROR(__xludf.DUMMYFUNCTION("""COMPUTED_VALUE"""),"
My Grandmother's Hands: Racialized Trauma and the Pathway to Mending Our Hearts and Bodies
")</f>
        <v xml:space="preserve">
My Grandmother's Hands: Racialized Trauma and the Pathway to Mending Our Hearts and Bodies
</v>
      </c>
      <c r="G89" s="5" t="str">
        <f ca="1">IFERROR(__xludf.DUMMYFUNCTION("""COMPUTED_VALUE"""),"Century Recovery Press")</f>
        <v>Century Recovery Press</v>
      </c>
      <c r="H89" s="5">
        <f ca="1">IFERROR(__xludf.DUMMYFUNCTION("""COMPUTED_VALUE"""),2017)</f>
        <v>2017</v>
      </c>
      <c r="I89" s="5" t="str">
        <f ca="1">IFERROR(__xludf.DUMMYFUNCTION("""COMPUTED_VALUE"""),"paperback")</f>
        <v>paperback</v>
      </c>
      <c r="J89" s="5" t="str">
        <f ca="1">IFERROR(__xludf.DUMMYFUNCTION("""COMPUTED_VALUE"""),"N/A")</f>
        <v>N/A</v>
      </c>
      <c r="K89" s="5" t="str">
        <f ca="1">IFERROR(__xludf.DUMMYFUNCTION("""COMPUTED_VALUE"""),"$15.42")</f>
        <v>$15.42</v>
      </c>
      <c r="L89" s="5" t="str">
        <f ca="1">IFERROR(__xludf.DUMMYFUNCTION("""COMPUTED_VALUE"""),"")</f>
        <v/>
      </c>
    </row>
    <row r="90" spans="1:12" ht="14.25" x14ac:dyDescent="0.2">
      <c r="A90" s="5" t="str">
        <f ca="1">IFERROR(__xludf.DUMMYFUNCTION("""COMPUTED_VALUE"""),"SM: 3003:  Faith and Violence (Big Question Course)")</f>
        <v>SM: 3003:  Faith and Violence (Big Question Course)</v>
      </c>
      <c r="B90" s="5" t="str">
        <f ca="1">IFERROR(__xludf.DUMMYFUNCTION("""COMPUTED_VALUE"""),"Craigo-Snell, S. &amp; Pauw, A.")</f>
        <v>Craigo-Snell, S. &amp; Pauw, A.</v>
      </c>
      <c r="C90" s="5" t="str">
        <f ca="1">IFERROR(__xludf.DUMMYFUNCTION("""COMPUTED_VALUE"""),"Spring 2021")</f>
        <v>Spring 2021</v>
      </c>
      <c r="D90" s="5" t="str">
        <f ca="1">IFERROR(__xludf.DUMMYFUNCTION("""COMPUTED_VALUE"""),"Required")</f>
        <v>Required</v>
      </c>
      <c r="E90" s="5" t="str">
        <f ca="1">IFERROR(__xludf.DUMMYFUNCTION("""COMPUTED_VALUE"""),"Serene Jones")</f>
        <v>Serene Jones</v>
      </c>
      <c r="F90" s="5" t="str">
        <f ca="1">IFERROR(__xludf.DUMMYFUNCTION("""COMPUTED_VALUE"""),"Trauma and Grace: Theology in a Ruptured World")</f>
        <v>Trauma and Grace: Theology in a Ruptured World</v>
      </c>
      <c r="G90" s="5" t="str">
        <f ca="1">IFERROR(__xludf.DUMMYFUNCTION("""COMPUTED_VALUE"""),"Westminster John Knox")</f>
        <v>Westminster John Knox</v>
      </c>
      <c r="H90" s="5">
        <f ca="1">IFERROR(__xludf.DUMMYFUNCTION("""COMPUTED_VALUE"""),2009)</f>
        <v>2009</v>
      </c>
      <c r="I90" s="5" t="str">
        <f ca="1">IFERROR(__xludf.DUMMYFUNCTION("""COMPUTED_VALUE"""),"N/A")</f>
        <v>N/A</v>
      </c>
      <c r="J90" s="5" t="str">
        <f ca="1">IFERROR(__xludf.DUMMYFUNCTION("""COMPUTED_VALUE"""),"paperback")</f>
        <v>paperback</v>
      </c>
      <c r="K90" s="5" t="str">
        <f ca="1">IFERROR(__xludf.DUMMYFUNCTION("""COMPUTED_VALUE"""),"$20.49")</f>
        <v>$20.49</v>
      </c>
      <c r="L90" s="5" t="str">
        <f ca="1">IFERROR(__xludf.DUMMYFUNCTION("""COMPUTED_VALUE"""),"")</f>
        <v/>
      </c>
    </row>
    <row r="91" spans="1:12" ht="14.25" x14ac:dyDescent="0.2">
      <c r="A91" s="5" t="str">
        <f ca="1">IFERROR(__xludf.DUMMYFUNCTION("""COMPUTED_VALUE"""),"SM: 3003:  Faith and Violence (Big Question Course)")</f>
        <v>SM: 3003:  Faith and Violence (Big Question Course)</v>
      </c>
      <c r="B91" s="5" t="str">
        <f ca="1">IFERROR(__xludf.DUMMYFUNCTION("""COMPUTED_VALUE"""),"Craigo-Snell, S. &amp; Pauw, A.")</f>
        <v>Craigo-Snell, S. &amp; Pauw, A.</v>
      </c>
      <c r="C91" s="5" t="str">
        <f ca="1">IFERROR(__xludf.DUMMYFUNCTION("""COMPUTED_VALUE"""),"Spring 2021")</f>
        <v>Spring 2021</v>
      </c>
      <c r="D91" s="5" t="str">
        <f ca="1">IFERROR(__xludf.DUMMYFUNCTION("""COMPUTED_VALUE"""),"Required")</f>
        <v>Required</v>
      </c>
      <c r="E91" s="5" t="str">
        <f ca="1">IFERROR(__xludf.DUMMYFUNCTION("""COMPUTED_VALUE"""),"James Cone")</f>
        <v>James Cone</v>
      </c>
      <c r="F91" s="5" t="str">
        <f ca="1">IFERROR(__xludf.DUMMYFUNCTION("""COMPUTED_VALUE"""),"The Cross and the Lynching Tree")</f>
        <v>The Cross and the Lynching Tree</v>
      </c>
      <c r="G91" s="5" t="str">
        <f ca="1">IFERROR(__xludf.DUMMYFUNCTION("""COMPUTED_VALUE"""),"Orbis")</f>
        <v>Orbis</v>
      </c>
      <c r="H91" s="5">
        <f ca="1">IFERROR(__xludf.DUMMYFUNCTION("""COMPUTED_VALUE"""),2013)</f>
        <v>2013</v>
      </c>
      <c r="I91" s="5" t="str">
        <f ca="1">IFERROR(__xludf.DUMMYFUNCTION("""COMPUTED_VALUE"""),"reprint edition")</f>
        <v>reprint edition</v>
      </c>
      <c r="J91" s="5" t="str">
        <f ca="1">IFERROR(__xludf.DUMMYFUNCTION("""COMPUTED_VALUE"""),"paperback")</f>
        <v>paperback</v>
      </c>
      <c r="K91" s="5" t="str">
        <f ca="1">IFERROR(__xludf.DUMMYFUNCTION("""COMPUTED_VALUE"""),"21.6")</f>
        <v>21.6</v>
      </c>
      <c r="L91" s="5" t="str">
        <f ca="1">IFERROR(__xludf.DUMMYFUNCTION("""COMPUTED_VALUE"""),"")</f>
        <v/>
      </c>
    </row>
    <row r="92" spans="1:12" ht="14.25" x14ac:dyDescent="0.2">
      <c r="A92" s="5" t="str">
        <f ca="1">IFERROR(__xludf.DUMMYFUNCTION("""COMPUTED_VALUE"""),"SM: 3003:  Faith and Violence (Big Question Course)")</f>
        <v>SM: 3003:  Faith and Violence (Big Question Course)</v>
      </c>
      <c r="B92" s="5" t="str">
        <f ca="1">IFERROR(__xludf.DUMMYFUNCTION("""COMPUTED_VALUE"""),"Craigo-Snell, S. &amp; Pauw, A.")</f>
        <v>Craigo-Snell, S. &amp; Pauw, A.</v>
      </c>
      <c r="C92" s="5" t="str">
        <f ca="1">IFERROR(__xludf.DUMMYFUNCTION("""COMPUTED_VALUE"""),"Spring 2021")</f>
        <v>Spring 2021</v>
      </c>
      <c r="D92" s="5" t="str">
        <f ca="1">IFERROR(__xludf.DUMMYFUNCTION("""COMPUTED_VALUE"""),"Required")</f>
        <v>Required</v>
      </c>
      <c r="E92" s="5" t="str">
        <f ca="1">IFERROR(__xludf.DUMMYFUNCTION("""COMPUTED_VALUE"""),"Anna Quindlen")</f>
        <v>Anna Quindlen</v>
      </c>
      <c r="F92" s="5" t="str">
        <f ca="1">IFERROR(__xludf.DUMMYFUNCTION("""COMPUTED_VALUE"""),"Black and Blue")</f>
        <v>Black and Blue</v>
      </c>
      <c r="G92" s="5" t="str">
        <f ca="1">IFERROR(__xludf.DUMMYFUNCTION("""COMPUTED_VALUE"""),"Random House")</f>
        <v>Random House</v>
      </c>
      <c r="H92" s="5">
        <f ca="1">IFERROR(__xludf.DUMMYFUNCTION("""COMPUTED_VALUE"""),2010)</f>
        <v>2010</v>
      </c>
      <c r="I92" s="5" t="str">
        <f ca="1">IFERROR(__xludf.DUMMYFUNCTION("""COMPUTED_VALUE"""),"paperback")</f>
        <v>paperback</v>
      </c>
      <c r="J92" s="5" t="str">
        <f ca="1">IFERROR(__xludf.DUMMYFUNCTION("""COMPUTED_VALUE"""),"N/A")</f>
        <v>N/A</v>
      </c>
      <c r="K92" s="5" t="str">
        <f ca="1">IFERROR(__xludf.DUMMYFUNCTION("""COMPUTED_VALUE"""),"$17.00")</f>
        <v>$17.00</v>
      </c>
      <c r="L92" s="5" t="str">
        <f ca="1">IFERROR(__xludf.DUMMYFUNCTION("""COMPUTED_VALUE"""),"")</f>
        <v/>
      </c>
    </row>
    <row r="93" spans="1:12" ht="14.25" x14ac:dyDescent="0.2">
      <c r="A93" s="5"/>
      <c r="B93" s="5"/>
      <c r="C93" s="5"/>
      <c r="D93" s="5"/>
      <c r="E93" s="5"/>
      <c r="F93" s="5"/>
      <c r="G93" s="5"/>
      <c r="H93" s="5"/>
      <c r="I93" s="5"/>
      <c r="J93"/>
      <c r="K93" s="5"/>
      <c r="L93" s="5"/>
    </row>
    <row r="94" spans="1:12" ht="14.25" x14ac:dyDescent="0.2">
      <c r="A94" s="5" t="str">
        <f ca="1">IFERROR(__xludf.DUMMYFUNCTION("""COMPUTED_VALUE"""),"TF 1123:  History of Christian Experience I")</f>
        <v>TF 1123:  History of Christian Experience I</v>
      </c>
      <c r="B94" s="5" t="str">
        <f ca="1">IFERROR(__xludf.DUMMYFUNCTION("""COMPUTED_VALUE"""),"Elwood, C.")</f>
        <v>Elwood, C.</v>
      </c>
      <c r="C94" s="5" t="str">
        <f ca="1">IFERROR(__xludf.DUMMYFUNCTION("""COMPUTED_VALUE"""),"Spring 2021")</f>
        <v>Spring 2021</v>
      </c>
      <c r="D94" s="5" t="str">
        <f ca="1">IFERROR(__xludf.DUMMYFUNCTION("""COMPUTED_VALUE"""),"Required")</f>
        <v>Required</v>
      </c>
      <c r="E94" s="5" t="str">
        <f ca="1">IFERROR(__xludf.DUMMYFUNCTION("""COMPUTED_VALUE"""),"John W. Coakley and Andrea Sterk, eds.")</f>
        <v>John W. Coakley and Andrea Sterk, eds.</v>
      </c>
      <c r="F94" s="5" t="str">
        <f ca="1">IFERROR(__xludf.DUMMYFUNCTION("""COMPUTED_VALUE"""),"Readings in World Christian History, Volume I: Earliest Christianity to 1453.")</f>
        <v>Readings in World Christian History, Volume I: Earliest Christianity to 1453.</v>
      </c>
      <c r="G94" s="5" t="str">
        <f ca="1">IFERROR(__xludf.DUMMYFUNCTION("""COMPUTED_VALUE"""),"Orbis")</f>
        <v>Orbis</v>
      </c>
      <c r="H94" s="5">
        <v>2004</v>
      </c>
      <c r="I94" s="5" t="str">
        <f ca="1">IFERROR(__xludf.DUMMYFUNCTION("""COMPUTED_VALUE"""),"N/A")</f>
        <v>N/A</v>
      </c>
      <c r="J94" s="22" t="s">
        <v>66</v>
      </c>
      <c r="K94" s="23">
        <v>28.25</v>
      </c>
      <c r="L94" s="5" t="str">
        <f ca="1">IFERROR(__xludf.DUMMYFUNCTION("""COMPUTED_VALUE"""),"")</f>
        <v/>
      </c>
    </row>
    <row r="95" spans="1:12" ht="14.25" x14ac:dyDescent="0.2">
      <c r="A95" s="5" t="str">
        <f ca="1">IFERROR(__xludf.DUMMYFUNCTION("""COMPUTED_VALUE"""),"TF 1123:  History of Christian Experience I")</f>
        <v>TF 1123:  History of Christian Experience I</v>
      </c>
      <c r="B95" s="5" t="str">
        <f ca="1">IFERROR(__xludf.DUMMYFUNCTION("""COMPUTED_VALUE"""),"Elwood, C.")</f>
        <v>Elwood, C.</v>
      </c>
      <c r="C95" s="5" t="str">
        <f ca="1">IFERROR(__xludf.DUMMYFUNCTION("""COMPUTED_VALUE"""),"Spring 2021")</f>
        <v>Spring 2021</v>
      </c>
      <c r="D95" s="5" t="str">
        <f ca="1">IFERROR(__xludf.DUMMYFUNCTION("""COMPUTED_VALUE"""),"Required")</f>
        <v>Required</v>
      </c>
      <c r="E95" s="5" t="str">
        <f ca="1">IFERROR(__xludf.DUMMYFUNCTION("""COMPUTED_VALUE"""),"Dale T. Irvin and Scott W. Sunquist")</f>
        <v>Dale T. Irvin and Scott W. Sunquist</v>
      </c>
      <c r="F95" s="5" t="str">
        <f ca="1">IFERROR(__xludf.DUMMYFUNCTION("""COMPUTED_VALUE"""),"History of the World Christian Movement, Volume 1: Earliest Christianity to 1453")</f>
        <v>History of the World Christian Movement, Volume 1: Earliest Christianity to 1453</v>
      </c>
      <c r="G95" s="5" t="str">
        <f ca="1">IFERROR(__xludf.DUMMYFUNCTION("""COMPUTED_VALUE"""),"Orbis")</f>
        <v>Orbis</v>
      </c>
      <c r="H95" s="5">
        <f ca="1">IFERROR(__xludf.DUMMYFUNCTION("""COMPUTED_VALUE"""),2001)</f>
        <v>2001</v>
      </c>
      <c r="I95" s="5" t="str">
        <f ca="1">IFERROR(__xludf.DUMMYFUNCTION("""COMPUTED_VALUE"""),"1st Edition")</f>
        <v>1st Edition</v>
      </c>
      <c r="J95" s="22" t="s">
        <v>67</v>
      </c>
      <c r="K95" s="23">
        <v>36</v>
      </c>
      <c r="L95" s="5" t="str">
        <f ca="1">IFERROR(__xludf.DUMMYFUNCTION("""COMPUTED_VALUE"""),"")</f>
        <v/>
      </c>
    </row>
    <row r="96" spans="1:12" ht="14.25" x14ac:dyDescent="0.2">
      <c r="A96" s="5"/>
      <c r="B96" s="5"/>
      <c r="C96" s="5"/>
      <c r="D96" s="5"/>
      <c r="E96" s="5"/>
      <c r="F96" s="5"/>
      <c r="G96" s="5"/>
      <c r="H96" s="5"/>
      <c r="I96" s="5"/>
      <c r="J96"/>
      <c r="K96" s="5"/>
      <c r="L96" s="5"/>
    </row>
    <row r="97" spans="1:12" ht="14.25" x14ac:dyDescent="0.2">
      <c r="A97" s="5" t="str">
        <f ca="1">IFERROR(__xludf.DUMMYFUNCTION("""COMPUTED_VALUE"""),"TH 2433:  Introduction to Black Church Studies")</f>
        <v>TH 2433:  Introduction to Black Church Studies</v>
      </c>
      <c r="B97" s="5" t="str">
        <f ca="1">IFERROR(__xludf.DUMMYFUNCTION("""COMPUTED_VALUE"""),"Clark, D. &amp; Gray, K.")</f>
        <v>Clark, D. &amp; Gray, K.</v>
      </c>
      <c r="C97" s="5" t="str">
        <f ca="1">IFERROR(__xludf.DUMMYFUNCTION("""COMPUTED_VALUE"""),"Spring 2021")</f>
        <v>Spring 2021</v>
      </c>
      <c r="D97" s="5" t="str">
        <f ca="1">IFERROR(__xludf.DUMMYFUNCTION("""COMPUTED_VALUE"""),"Required")</f>
        <v>Required</v>
      </c>
      <c r="E97" s="5" t="str">
        <f ca="1">IFERROR(__xludf.DUMMYFUNCTION("""COMPUTED_VALUE"""),"Alton B. Pollard III and Carol B. Duncan, eds.")</f>
        <v>Alton B. Pollard III and Carol B. Duncan, eds.</v>
      </c>
      <c r="F97" s="5" t="str">
        <f ca="1">IFERROR(__xludf.DUMMYFUNCTION("""COMPUTED_VALUE"""),"The Black Church Studies Reader")</f>
        <v>The Black Church Studies Reader</v>
      </c>
      <c r="G97" s="5" t="str">
        <f ca="1">IFERROR(__xludf.DUMMYFUNCTION("""COMPUTED_VALUE"""),"Palgrave Macmillan")</f>
        <v>Palgrave Macmillan</v>
      </c>
      <c r="H97" s="5">
        <f ca="1">IFERROR(__xludf.DUMMYFUNCTION("""COMPUTED_VALUE"""),2016)</f>
        <v>2016</v>
      </c>
      <c r="I97" s="5" t="str">
        <f ca="1">IFERROR(__xludf.DUMMYFUNCTION("""COMPUTED_VALUE"""),"1st edition")</f>
        <v>1st edition</v>
      </c>
      <c r="J97" s="5" t="str">
        <f ca="1">IFERROR(__xludf.DUMMYFUNCTION("""COMPUTED_VALUE"""),"978-1137552877")</f>
        <v>978-1137552877</v>
      </c>
      <c r="K97" s="5" t="str">
        <f ca="1">IFERROR(__xludf.DUMMYFUNCTION("""COMPUTED_VALUE"""),"$139.99 / $60.59")</f>
        <v>$139.99 / $60.59</v>
      </c>
      <c r="L97" s="5" t="str">
        <f ca="1">IFERROR(__xludf.DUMMYFUNCTION("""COMPUTED_VALUE"""),"")</f>
        <v/>
      </c>
    </row>
    <row r="98" spans="1:12" ht="14.25" x14ac:dyDescent="0.2">
      <c r="A98" s="5" t="str">
        <f ca="1">IFERROR(__xludf.DUMMYFUNCTION("""COMPUTED_VALUE"""),"TH 2433:  Introduction to Black Church Studies")</f>
        <v>TH 2433:  Introduction to Black Church Studies</v>
      </c>
      <c r="B98" s="5" t="str">
        <f ca="1">IFERROR(__xludf.DUMMYFUNCTION("""COMPUTED_VALUE"""),"Clark, D. &amp; Gray, K.")</f>
        <v>Clark, D. &amp; Gray, K.</v>
      </c>
      <c r="C98" s="5" t="str">
        <f ca="1">IFERROR(__xludf.DUMMYFUNCTION("""COMPUTED_VALUE"""),"Spring 2021")</f>
        <v>Spring 2021</v>
      </c>
      <c r="D98" s="5" t="str">
        <f ca="1">IFERROR(__xludf.DUMMYFUNCTION("""COMPUTED_VALUE"""),"Required")</f>
        <v>Required</v>
      </c>
      <c r="E98" s="5" t="str">
        <f ca="1">IFERROR(__xludf.DUMMYFUNCTION("""COMPUTED_VALUE"""),"Albert J. Raboteau")</f>
        <v>Albert J. Raboteau</v>
      </c>
      <c r="F98" s="5" t="str">
        <f ca="1">IFERROR(__xludf.DUMMYFUNCTION("""COMPUTED_VALUE"""),"Canaan Land: A Religious History of African Americans")</f>
        <v>Canaan Land: A Religious History of African Americans</v>
      </c>
      <c r="G98" s="5" t="str">
        <f ca="1">IFERROR(__xludf.DUMMYFUNCTION("""COMPUTED_VALUE"""),"Oxford University Press")</f>
        <v>Oxford University Press</v>
      </c>
      <c r="H98" s="5">
        <f ca="1">IFERROR(__xludf.DUMMYFUNCTION("""COMPUTED_VALUE"""),2001)</f>
        <v>2001</v>
      </c>
      <c r="I98" s="5" t="str">
        <f ca="1">IFERROR(__xludf.DUMMYFUNCTION("""COMPUTED_VALUE"""),"1st edition")</f>
        <v>1st edition</v>
      </c>
      <c r="J98" s="5" t="str">
        <f ca="1">IFERROR(__xludf.DUMMYFUNCTION("""COMPUTED_VALUE"""),"978-0195145854")</f>
        <v>978-0195145854</v>
      </c>
      <c r="K98" s="5" t="str">
        <f ca="1">IFERROR(__xludf.DUMMYFUNCTION("""COMPUTED_VALUE"""),"$14.99 / $13.49")</f>
        <v>$14.99 / $13.49</v>
      </c>
      <c r="L98" s="5" t="str">
        <f ca="1">IFERROR(__xludf.DUMMYFUNCTION("""COMPUTED_VALUE"""),"")</f>
        <v/>
      </c>
    </row>
    <row r="99" spans="1:12" ht="14.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4.25" x14ac:dyDescent="0.2">
      <c r="A100" s="5" t="str">
        <f ca="1">IFERROR(__xludf.DUMMYFUNCTION("""COMPUTED_VALUE"""),"TH 3523:  Christology")</f>
        <v>TH 3523:  Christology</v>
      </c>
      <c r="B100" s="5" t="str">
        <f ca="1">IFERROR(__xludf.DUMMYFUNCTION("""COMPUTED_VALUE"""),"Pauw, A.")</f>
        <v>Pauw, A.</v>
      </c>
      <c r="C100" s="5" t="str">
        <f ca="1">IFERROR(__xludf.DUMMYFUNCTION("""COMPUTED_VALUE"""),"Spring 2021")</f>
        <v>Spring 2021</v>
      </c>
      <c r="D100" s="5" t="str">
        <f ca="1">IFERROR(__xludf.DUMMYFUNCTION("""COMPUTED_VALUE"""),"Required")</f>
        <v>Required</v>
      </c>
      <c r="E100" s="5" t="str">
        <f ca="1">IFERROR(__xludf.DUMMYFUNCTION("""COMPUTED_VALUE"""),"William Placher")</f>
        <v>William Placher</v>
      </c>
      <c r="F100" s="5" t="str">
        <f ca="1">IFERROR(__xludf.DUMMYFUNCTION("""COMPUTED_VALUE"""),"Jesus the Savior: The Meaning of Jesus Christ for Christian Faith ")</f>
        <v xml:space="preserve">Jesus the Savior: The Meaning of Jesus Christ for Christian Faith </v>
      </c>
      <c r="G100" s="5" t="str">
        <f ca="1">IFERROR(__xludf.DUMMYFUNCTION("""COMPUTED_VALUE"""),"WJK")</f>
        <v>WJK</v>
      </c>
      <c r="H100" s="5">
        <f ca="1">IFERROR(__xludf.DUMMYFUNCTION("""COMPUTED_VALUE"""),2001)</f>
        <v>2001</v>
      </c>
      <c r="I100" s="5" t="str">
        <f ca="1">IFERROR(__xludf.DUMMYFUNCTION("""COMPUTED_VALUE"""),"NA")</f>
        <v>NA</v>
      </c>
      <c r="J100" s="5" t="str">
        <f ca="1">IFERROR(__xludf.DUMMYFUNCTION("""COMPUTED_VALUE"""),"paperback")</f>
        <v>paperback</v>
      </c>
      <c r="K100" s="5" t="str">
        <f ca="1">IFERROR(__xludf.DUMMYFUNCTION("""COMPUTED_VALUE"""),"")</f>
        <v/>
      </c>
      <c r="L100" s="5" t="str">
        <f ca="1">IFERROR(__xludf.DUMMYFUNCTION("""COMPUTED_VALUE"""),"")</f>
        <v/>
      </c>
    </row>
    <row r="101" spans="1:12" ht="14.25" x14ac:dyDescent="0.2">
      <c r="A101" s="5" t="str">
        <f ca="1">IFERROR(__xludf.DUMMYFUNCTION("""COMPUTED_VALUE"""),"TH 3523:  Christology")</f>
        <v>TH 3523:  Christology</v>
      </c>
      <c r="B101" s="5" t="str">
        <f ca="1">IFERROR(__xludf.DUMMYFUNCTION("""COMPUTED_VALUE"""),"Pauw, A.")</f>
        <v>Pauw, A.</v>
      </c>
      <c r="C101" s="5" t="str">
        <f ca="1">IFERROR(__xludf.DUMMYFUNCTION("""COMPUTED_VALUE"""),"Spring 2021")</f>
        <v>Spring 2021</v>
      </c>
      <c r="D101" s="5" t="str">
        <f ca="1">IFERROR(__xludf.DUMMYFUNCTION("""COMPUTED_VALUE"""),"Required")</f>
        <v>Required</v>
      </c>
      <c r="E101" s="5" t="str">
        <f ca="1">IFERROR(__xludf.DUMMYFUNCTION("""COMPUTED_VALUE"""),"Marit Trelstad")</f>
        <v>Marit Trelstad</v>
      </c>
      <c r="F101" s="5" t="str">
        <f ca="1">IFERROR(__xludf.DUMMYFUNCTION("""COMPUTED_VALUE"""),"Cross Examinations: Readings on the Meaning of the Cross Today ")</f>
        <v xml:space="preserve">Cross Examinations: Readings on the Meaning of the Cross Today </v>
      </c>
      <c r="G101" s="5" t="str">
        <f ca="1">IFERROR(__xludf.DUMMYFUNCTION("""COMPUTED_VALUE"""),"Fortress")</f>
        <v>Fortress</v>
      </c>
      <c r="H101" s="5">
        <f ca="1">IFERROR(__xludf.DUMMYFUNCTION("""COMPUTED_VALUE"""),2016)</f>
        <v>2016</v>
      </c>
      <c r="I101" s="5" t="str">
        <f ca="1">IFERROR(__xludf.DUMMYFUNCTION("""COMPUTED_VALUE"""),"NA")</f>
        <v>NA</v>
      </c>
      <c r="J101" s="5" t="s">
        <v>68</v>
      </c>
      <c r="K101" s="5" t="str">
        <f ca="1">IFERROR(__xludf.DUMMYFUNCTION("""COMPUTED_VALUE"""),"")</f>
        <v/>
      </c>
      <c r="L101" s="5" t="str">
        <f ca="1">IFERROR(__xludf.DUMMYFUNCTION("""COMPUTED_VALUE"""),"")</f>
        <v/>
      </c>
    </row>
    <row r="102" spans="1:12" ht="14.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14.25" x14ac:dyDescent="0.2">
      <c r="A103" s="5" t="str">
        <f ca="1">IFERROR(__xludf.DUMMYFUNCTION("""COMPUTED_VALUE"""),"TH 3673:  Political and Liberation Theologies")</f>
        <v>TH 3673:  Political and Liberation Theologies</v>
      </c>
      <c r="B103" s="5" t="str">
        <f ca="1">IFERROR(__xludf.DUMMYFUNCTION("""COMPUTED_VALUE"""),"Craigo-Snell, S.")</f>
        <v>Craigo-Snell, S.</v>
      </c>
      <c r="C103" s="5" t="str">
        <f ca="1">IFERROR(__xludf.DUMMYFUNCTION("""COMPUTED_VALUE"""),"Spring 2021")</f>
        <v>Spring 2021</v>
      </c>
      <c r="D103" s="5" t="str">
        <f ca="1">IFERROR(__xludf.DUMMYFUNCTION("""COMPUTED_VALUE"""),"Required")</f>
        <v>Required</v>
      </c>
      <c r="E103" s="5" t="str">
        <f ca="1">IFERROR(__xludf.DUMMYFUNCTION("""COMPUTED_VALUE"""),"Pamela R. Lightsey")</f>
        <v>Pamela R. Lightsey</v>
      </c>
      <c r="F103" s="5" t="str">
        <f ca="1">IFERROR(__xludf.DUMMYFUNCTION("""COMPUTED_VALUE"""),"Our Lives Matter: A Womanist Queer Theology")</f>
        <v>Our Lives Matter: A Womanist Queer Theology</v>
      </c>
      <c r="G103" s="5" t="str">
        <f ca="1">IFERROR(__xludf.DUMMYFUNCTION("""COMPUTED_VALUE"""),"Pickwick Publications")</f>
        <v>Pickwick Publications</v>
      </c>
      <c r="H103" s="5">
        <f ca="1">IFERROR(__xludf.DUMMYFUNCTION("""COMPUTED_VALUE"""),2015)</f>
        <v>2015</v>
      </c>
      <c r="I103" s="5" t="str">
        <f ca="1">IFERROR(__xludf.DUMMYFUNCTION("""COMPUTED_VALUE"""),"1st edition")</f>
        <v>1st edition</v>
      </c>
      <c r="J103" s="5" t="str">
        <f ca="1">IFERROR(__xludf.DUMMYFUNCTION("""COMPUTED_VALUE"""),"978-1498206648")</f>
        <v>978-1498206648</v>
      </c>
      <c r="K103" s="5" t="str">
        <f ca="1">IFERROR(__xludf.DUMMYFUNCTION("""COMPUTED_VALUE"""),"/ $18.00")</f>
        <v>/ $18.00</v>
      </c>
      <c r="L103" s="5" t="str">
        <f ca="1">IFERROR(__xludf.DUMMYFUNCTION("""COMPUTED_VALUE"""),"")</f>
        <v/>
      </c>
    </row>
    <row r="104" spans="1:12" ht="14.25" x14ac:dyDescent="0.2">
      <c r="A104" s="5" t="str">
        <f ca="1">IFERROR(__xludf.DUMMYFUNCTION("""COMPUTED_VALUE"""),"TH 3673:  Political and Liberation Theologies")</f>
        <v>TH 3673:  Political and Liberation Theologies</v>
      </c>
      <c r="B104" s="5" t="str">
        <f ca="1">IFERROR(__xludf.DUMMYFUNCTION("""COMPUTED_VALUE"""),"Craigo-Snell, S.")</f>
        <v>Craigo-Snell, S.</v>
      </c>
      <c r="C104" s="5" t="str">
        <f ca="1">IFERROR(__xludf.DUMMYFUNCTION("""COMPUTED_VALUE"""),"Spring 2021")</f>
        <v>Spring 2021</v>
      </c>
      <c r="D104" s="5" t="str">
        <f ca="1">IFERROR(__xludf.DUMMYFUNCTION("""COMPUTED_VALUE"""),"Required")</f>
        <v>Required</v>
      </c>
      <c r="E104" s="5" t="str">
        <f ca="1">IFERROR(__xludf.DUMMYFUNCTION("""COMPUTED_VALUE"""),"James Cone")</f>
        <v>James Cone</v>
      </c>
      <c r="F104" s="5" t="str">
        <f ca="1">IFERROR(__xludf.DUMMYFUNCTION("""COMPUTED_VALUE"""),"A Black Theology of Liberation, 40th anniversary edition")</f>
        <v>A Black Theology of Liberation, 40th anniversary edition</v>
      </c>
      <c r="G104" s="5" t="str">
        <f ca="1">IFERROR(__xludf.DUMMYFUNCTION("""COMPUTED_VALUE"""),"Orbis Books")</f>
        <v>Orbis Books</v>
      </c>
      <c r="H104" s="5">
        <f ca="1">IFERROR(__xludf.DUMMYFUNCTION("""COMPUTED_VALUE"""),2010)</f>
        <v>2010</v>
      </c>
      <c r="I104" s="5" t="str">
        <f ca="1">IFERROR(__xludf.DUMMYFUNCTION("""COMPUTED_VALUE"""),"40th anniversary edition")</f>
        <v>40th anniversary edition</v>
      </c>
      <c r="J104" s="5" t="str">
        <f ca="1">IFERROR(__xludf.DUMMYFUNCTION("""COMPUTED_VALUE"""),"978-1570758959")</f>
        <v>978-1570758959</v>
      </c>
      <c r="K104" s="5" t="str">
        <f ca="1">IFERROR(__xludf.DUMMYFUNCTION("""COMPUTED_VALUE"""),"$21,00 / $18.85")</f>
        <v>$21,00 / $18.85</v>
      </c>
      <c r="L104" s="5" t="str">
        <f ca="1">IFERROR(__xludf.DUMMYFUNCTION("""COMPUTED_VALUE"""),"")</f>
        <v/>
      </c>
    </row>
    <row r="105" spans="1:12" ht="14.25" x14ac:dyDescent="0.2">
      <c r="A105" s="5" t="str">
        <f ca="1">IFERROR(__xludf.DUMMYFUNCTION("""COMPUTED_VALUE"""),"TH 3673:  Political and Liberation Theologies")</f>
        <v>TH 3673:  Political and Liberation Theologies</v>
      </c>
      <c r="B105" s="5" t="str">
        <f ca="1">IFERROR(__xludf.DUMMYFUNCTION("""COMPUTED_VALUE"""),"Craigo-Snell, S.")</f>
        <v>Craigo-Snell, S.</v>
      </c>
      <c r="C105" s="5" t="str">
        <f ca="1">IFERROR(__xludf.DUMMYFUNCTION("""COMPUTED_VALUE"""),"Spring 2021")</f>
        <v>Spring 2021</v>
      </c>
      <c r="D105" s="5" t="str">
        <f ca="1">IFERROR(__xludf.DUMMYFUNCTION("""COMPUTED_VALUE"""),"Required")</f>
        <v>Required</v>
      </c>
      <c r="E105" s="5" t="str">
        <f ca="1">IFERROR(__xludf.DUMMYFUNCTION("""COMPUTED_VALUE"""),"Jon Sobrino and Ignacio Ellacuria, eds.")</f>
        <v>Jon Sobrino and Ignacio Ellacuria, eds.</v>
      </c>
      <c r="F105" s="5" t="str">
        <f ca="1">IFERROR(__xludf.DUMMYFUNCTION("""COMPUTED_VALUE"""),"Systematic Theology: Perspectives from Liberation Theology")</f>
        <v>Systematic Theology: Perspectives from Liberation Theology</v>
      </c>
      <c r="G105" s="5" t="str">
        <f ca="1">IFERROR(__xludf.DUMMYFUNCTION("""COMPUTED_VALUE"""),"Orbis Books")</f>
        <v>Orbis Books</v>
      </c>
      <c r="H105" s="5">
        <f ca="1">IFERROR(__xludf.DUMMYFUNCTION("""COMPUTED_VALUE"""),1996)</f>
        <v>1996</v>
      </c>
      <c r="I105" s="5" t="str">
        <f ca="1">IFERROR(__xludf.DUMMYFUNCTION("""COMPUTED_VALUE"""),"1st edition")</f>
        <v>1st edition</v>
      </c>
      <c r="J105" s="5" t="str">
        <f ca="1">IFERROR(__xludf.DUMMYFUNCTION("""COMPUTED_VALUE"""),"978-1570750687")</f>
        <v>978-1570750687</v>
      </c>
      <c r="K105" s="5" t="str">
        <f ca="1">IFERROR(__xludf.DUMMYFUNCTION("""COMPUTED_VALUE"""),"$34.00 / $24.38")</f>
        <v>$34.00 / $24.38</v>
      </c>
      <c r="L105" s="5" t="str">
        <f ca="1">IFERROR(__xludf.DUMMYFUNCTION("""COMPUTED_VALUE"""),"")</f>
        <v/>
      </c>
    </row>
    <row r="106" spans="1:12" ht="14.25" x14ac:dyDescent="0.2">
      <c r="A106" s="5" t="str">
        <f ca="1">IFERROR(__xludf.DUMMYFUNCTION("""COMPUTED_VALUE"""),"TH 3673:  Political and Liberation Theologies")</f>
        <v>TH 3673:  Political and Liberation Theologies</v>
      </c>
      <c r="B106" s="5" t="str">
        <f ca="1">IFERROR(__xludf.DUMMYFUNCTION("""COMPUTED_VALUE"""),"Craigo-Snell, S.")</f>
        <v>Craigo-Snell, S.</v>
      </c>
      <c r="C106" s="5" t="str">
        <f ca="1">IFERROR(__xludf.DUMMYFUNCTION("""COMPUTED_VALUE"""),"Spring 2021")</f>
        <v>Spring 2021</v>
      </c>
      <c r="D106" s="5" t="str">
        <f ca="1">IFERROR(__xludf.DUMMYFUNCTION("""COMPUTED_VALUE"""),"Required")</f>
        <v>Required</v>
      </c>
      <c r="E106" s="5" t="str">
        <f ca="1">IFERROR(__xludf.DUMMYFUNCTION("""COMPUTED_VALUE"""),"Elizabeth A. Johnson")</f>
        <v>Elizabeth A. Johnson</v>
      </c>
      <c r="F106" s="5" t="str">
        <f ca="1">IFERROR(__xludf.DUMMYFUNCTION("""COMPUTED_VALUE"""),"Quest for the Living God: Mapping Frontiers in the Theology of God")</f>
        <v>Quest for the Living God: Mapping Frontiers in the Theology of God</v>
      </c>
      <c r="G106" s="5" t="str">
        <f ca="1">IFERROR(__xludf.DUMMYFUNCTION("""COMPUTED_VALUE"""),"Continuum")</f>
        <v>Continuum</v>
      </c>
      <c r="H106" s="5">
        <f ca="1">IFERROR(__xludf.DUMMYFUNCTION("""COMPUTED_VALUE"""),2011)</f>
        <v>2011</v>
      </c>
      <c r="I106" s="5" t="str">
        <f ca="1">IFERROR(__xludf.DUMMYFUNCTION("""COMPUTED_VALUE"""),"Reprint edition")</f>
        <v>Reprint edition</v>
      </c>
      <c r="J106" s="5" t="str">
        <f ca="1">IFERROR(__xludf.DUMMYFUNCTION("""COMPUTED_VALUE"""),"978-1441174628")</f>
        <v>978-1441174628</v>
      </c>
      <c r="K106" s="5" t="str">
        <f ca="1">IFERROR(__xludf.DUMMYFUNCTION("""COMPUTED_VALUE"""),"/ $26.95")</f>
        <v>/ $26.95</v>
      </c>
      <c r="L106" s="5" t="str">
        <f ca="1">IFERROR(__xludf.DUMMYFUNCTION("""COMPUTED_VALUE"""),"")</f>
        <v/>
      </c>
    </row>
    <row r="107" spans="1:12" ht="14.25" x14ac:dyDescent="0.2">
      <c r="A107" s="5" t="str">
        <f ca="1">IFERROR(__xludf.DUMMYFUNCTION("""COMPUTED_VALUE"""),"TH 3673:  Political and Liberation Theologies")</f>
        <v>TH 3673:  Political and Liberation Theologies</v>
      </c>
      <c r="B107" s="5" t="str">
        <f ca="1">IFERROR(__xludf.DUMMYFUNCTION("""COMPUTED_VALUE"""),"Craigo-Snell, S.")</f>
        <v>Craigo-Snell, S.</v>
      </c>
      <c r="C107" s="5" t="str">
        <f ca="1">IFERROR(__xludf.DUMMYFUNCTION("""COMPUTED_VALUE"""),"Spring 2021")</f>
        <v>Spring 2021</v>
      </c>
      <c r="D107" s="5" t="str">
        <f ca="1">IFERROR(__xludf.DUMMYFUNCTION("""COMPUTED_VALUE"""),"Required")</f>
        <v>Required</v>
      </c>
      <c r="E107" s="5" t="str">
        <f ca="1">IFERROR(__xludf.DUMMYFUNCTION("""COMPUTED_VALUE"""),"Nancy L. Eisland")</f>
        <v>Nancy L. Eisland</v>
      </c>
      <c r="F107" s="5" t="str">
        <f ca="1">IFERROR(__xludf.DUMMYFUNCTION("""COMPUTED_VALUE"""),"The Disabled God: Toward a Theology of Disability")</f>
        <v>The Disabled God: Toward a Theology of Disability</v>
      </c>
      <c r="G107" s="5" t="str">
        <f ca="1">IFERROR(__xludf.DUMMYFUNCTION("""COMPUTED_VALUE"""),"Abingdon Press")</f>
        <v>Abingdon Press</v>
      </c>
      <c r="H107" s="5">
        <f ca="1">IFERROR(__xludf.DUMMYFUNCTION("""COMPUTED_VALUE"""),1994)</f>
        <v>1994</v>
      </c>
      <c r="I107" s="5" t="str">
        <f ca="1">IFERROR(__xludf.DUMMYFUNCTION("""COMPUTED_VALUE"""),"1st edition")</f>
        <v>1st edition</v>
      </c>
      <c r="J107" s="5" t="str">
        <f ca="1">IFERROR(__xludf.DUMMYFUNCTION("""COMPUTED_VALUE"""),"978-0687108015")</f>
        <v>978-0687108015</v>
      </c>
      <c r="K107" s="5" t="str">
        <f ca="1">IFERROR(__xludf.DUMMYFUNCTION("""COMPUTED_VALUE"""),"$19.999 / $15.49")</f>
        <v>$19.999 / $15.49</v>
      </c>
      <c r="L107" s="5" t="str">
        <f ca="1">IFERROR(__xludf.DUMMYFUNCTION("""COMPUTED_VALUE"""),"")</f>
        <v/>
      </c>
    </row>
  </sheetData>
  <sortState ref="A2:AG106">
    <sortCondition ref="A1"/>
  </sortState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A7FDF07448454584B7C6742AEEC882" ma:contentTypeVersion="2" ma:contentTypeDescription="Create a new document." ma:contentTypeScope="" ma:versionID="dbfe0a97924158d794ef72cdd7d81247">
  <xsd:schema xmlns:xsd="http://www.w3.org/2001/XMLSchema" xmlns:xs="http://www.w3.org/2001/XMLSchema" xmlns:p="http://schemas.microsoft.com/office/2006/metadata/properties" xmlns:ns2="424d741a-bc63-4216-b10a-b570cdc4c2ab" targetNamespace="http://schemas.microsoft.com/office/2006/metadata/properties" ma:root="true" ma:fieldsID="947ff6e789f587018b613e657ac05497" ns2:_="">
    <xsd:import namespace="424d741a-bc63-4216-b10a-b570cdc4c2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741a-bc63-4216-b10a-b570cdc4c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6C6C8-7EA7-40AD-A95A-17B22B3679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3418C-A829-40E2-AB12-E6F398D328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0113B2-BE1E-40BF-BC51-8F4F87128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d741a-bc63-4216-b10a-b570cdc4c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2021 Textbooks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SCARLOTT, MELISA</dc:creator>
  <cp:keywords/>
  <dc:description/>
  <cp:lastModifiedBy>COOK, STEVE</cp:lastModifiedBy>
  <cp:revision/>
  <dcterms:created xsi:type="dcterms:W3CDTF">2020-11-02T19:50:24Z</dcterms:created>
  <dcterms:modified xsi:type="dcterms:W3CDTF">2021-01-11T18:02:14Z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0x010100B5A7FDF07448454584B7C6742AEEC882</vt:lpwstr>
  </property>
</Properties>
</file>