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mc:AlternateContent xmlns:mc="http://schemas.openxmlformats.org/markup-compatibility/2006">
    <mc:Choice Requires="x15">
      <x15ac:absPath xmlns:x15ac="http://schemas.microsoft.com/office/spreadsheetml/2010/11/ac" url="C:\MyFiles\New Registrar\Bookstore Online\BOOKLISTS FOR WEB\JA SP 2021\"/>
    </mc:Choice>
  </mc:AlternateContent>
  <xr:revisionPtr revIDLastSave="0" documentId="13_ncr:1_{98E12F73-711E-4271-864B-0B3CDEA197C4}" xr6:coauthVersionLast="36" xr6:coauthVersionMax="45" xr10:uidLastSave="{00000000-0000-0000-0000-000000000000}"/>
  <bookViews>
    <workbookView xWindow="0" yWindow="0" windowWidth="21600" windowHeight="9525" xr2:uid="{00000000-000D-0000-FFFF-FFFF00000000}"/>
  </bookViews>
  <sheets>
    <sheet name="January 2021 Textbooks" sheetId="2" r:id="rId1"/>
  </sheets>
  <calcPr calcId="191028"/>
</workbook>
</file>

<file path=xl/calcChain.xml><?xml version="1.0" encoding="utf-8"?>
<calcChain xmlns="http://schemas.openxmlformats.org/spreadsheetml/2006/main">
  <c r="E58" i="2" l="1"/>
  <c r="A54" i="2"/>
  <c r="D59" i="2"/>
  <c r="C59" i="2"/>
  <c r="B59" i="2"/>
  <c r="A59" i="2"/>
  <c r="D58" i="2"/>
  <c r="C58" i="2"/>
  <c r="B58" i="2"/>
  <c r="A58" i="2"/>
  <c r="A24" i="2" l="1"/>
  <c r="B72" i="2" l="1"/>
  <c r="B51" i="2"/>
  <c r="B34" i="2"/>
  <c r="B24" i="2"/>
  <c r="B6" i="2"/>
  <c r="B57" i="2"/>
  <c r="B15" i="2"/>
  <c r="B66" i="2"/>
  <c r="B46" i="2"/>
  <c r="B17" i="2"/>
  <c r="B64" i="2"/>
  <c r="B74" i="2"/>
  <c r="B53" i="2"/>
  <c r="B36" i="2"/>
  <c r="B4" i="2"/>
  <c r="B35" i="2"/>
  <c r="B56" i="2"/>
  <c r="B30" i="2"/>
  <c r="B14" i="2"/>
  <c r="B73" i="2"/>
  <c r="B3" i="2"/>
  <c r="B55" i="2"/>
  <c r="B33" i="2"/>
  <c r="B13" i="2"/>
  <c r="B61" i="2"/>
  <c r="B32" i="2"/>
  <c r="B16" i="2"/>
  <c r="B47" i="2"/>
  <c r="B5" i="2"/>
  <c r="B75" i="2"/>
  <c r="B41" i="2"/>
  <c r="B22" i="2"/>
  <c r="B11" i="2"/>
  <c r="B45" i="2"/>
  <c r="B21" i="2"/>
  <c r="B27" i="2"/>
  <c r="F28" i="2"/>
  <c r="H26" i="2"/>
  <c r="A25" i="2"/>
  <c r="K22" i="2"/>
  <c r="I20" i="2"/>
  <c r="F19" i="2"/>
  <c r="H40" i="2"/>
  <c r="A39" i="2"/>
  <c r="K37" i="2"/>
  <c r="I35" i="2"/>
  <c r="F34" i="2"/>
  <c r="H32" i="2"/>
  <c r="A31" i="2"/>
  <c r="K57" i="2"/>
  <c r="I55" i="2"/>
  <c r="F53" i="2"/>
  <c r="H51" i="2"/>
  <c r="A50" i="2"/>
  <c r="K68" i="2"/>
  <c r="I66" i="2"/>
  <c r="F65" i="2"/>
  <c r="H63" i="2"/>
  <c r="A62" i="2"/>
  <c r="K48" i="2"/>
  <c r="I47" i="2"/>
  <c r="F46" i="2"/>
  <c r="B63" i="2"/>
  <c r="B19" i="2"/>
  <c r="B31" i="2"/>
  <c r="B50" i="2"/>
  <c r="B9" i="2"/>
  <c r="B65" i="2"/>
  <c r="B20" i="2"/>
  <c r="G27" i="2"/>
  <c r="H21" i="2"/>
  <c r="J19" i="2"/>
  <c r="D40" i="2"/>
  <c r="F38" i="2"/>
  <c r="D36" i="2"/>
  <c r="C34" i="2"/>
  <c r="I31" i="2"/>
  <c r="C30" i="2"/>
  <c r="E55" i="2"/>
  <c r="K52" i="2"/>
  <c r="E50" i="2"/>
  <c r="G68" i="2"/>
  <c r="A66" i="2"/>
  <c r="G64" i="2"/>
  <c r="J61" i="2"/>
  <c r="J46" i="2"/>
  <c r="H16" i="2"/>
  <c r="A15" i="2"/>
  <c r="K13" i="2"/>
  <c r="I11" i="2"/>
  <c r="F10" i="2"/>
  <c r="H8" i="2"/>
  <c r="A7" i="2"/>
  <c r="K5" i="2"/>
  <c r="I3" i="2"/>
  <c r="F45" i="2"/>
  <c r="H43" i="2"/>
  <c r="C76" i="2"/>
  <c r="D74" i="2"/>
  <c r="J72" i="2"/>
  <c r="G71" i="2"/>
  <c r="G1" i="2"/>
  <c r="K28" i="2"/>
  <c r="C27" i="2"/>
  <c r="J27" i="2"/>
  <c r="A26" i="2"/>
  <c r="D20" i="2"/>
  <c r="F41" i="2"/>
  <c r="I38" i="2"/>
  <c r="A37" i="2"/>
  <c r="G35" i="2"/>
  <c r="I27" i="2"/>
  <c r="H27" i="2"/>
  <c r="A22" i="2"/>
  <c r="G20" i="2"/>
  <c r="J40" i="2"/>
  <c r="F39" i="2"/>
  <c r="I36" i="2"/>
  <c r="K20" i="2"/>
  <c r="F37" i="2"/>
  <c r="E34" i="2"/>
  <c r="G32" i="2"/>
  <c r="J57" i="2"/>
  <c r="F56" i="2"/>
  <c r="I52" i="2"/>
  <c r="A51" i="2"/>
  <c r="G69" i="2"/>
  <c r="D66" i="2"/>
  <c r="F64" i="2"/>
  <c r="I61" i="2"/>
  <c r="A48" i="2"/>
  <c r="G47" i="2"/>
  <c r="J16" i="2"/>
  <c r="F15" i="2"/>
  <c r="I19" i="2"/>
  <c r="C40" i="2"/>
  <c r="D35" i="2"/>
  <c r="J33" i="2"/>
  <c r="F32" i="2"/>
  <c r="I57" i="2"/>
  <c r="A56" i="2"/>
  <c r="G53" i="2"/>
  <c r="D50" i="2"/>
  <c r="F68" i="2"/>
  <c r="I65" i="2"/>
  <c r="A64" i="2"/>
  <c r="G62" i="2"/>
  <c r="F47" i="2"/>
  <c r="I16" i="2"/>
  <c r="E14" i="2"/>
  <c r="H28" i="2"/>
  <c r="B38" i="2"/>
  <c r="B44" i="2"/>
  <c r="B37" i="2"/>
  <c r="B39" i="2"/>
  <c r="B28" i="2"/>
  <c r="B7" i="2"/>
  <c r="J28" i="2"/>
  <c r="I25" i="2"/>
  <c r="G22" i="2"/>
  <c r="C19" i="2"/>
  <c r="E39" i="2"/>
  <c r="H36" i="2"/>
  <c r="K33" i="2"/>
  <c r="J30" i="2"/>
  <c r="D56" i="2"/>
  <c r="G52" i="2"/>
  <c r="F69" i="2"/>
  <c r="E66" i="2"/>
  <c r="D63" i="2"/>
  <c r="C61" i="2"/>
  <c r="A47" i="2"/>
  <c r="D16" i="2"/>
  <c r="F14" i="2"/>
  <c r="D12" i="2"/>
  <c r="C10" i="2"/>
  <c r="I7" i="2"/>
  <c r="C6" i="2"/>
  <c r="E3" i="2"/>
  <c r="K44" i="2"/>
  <c r="F76" i="2"/>
  <c r="I73" i="2"/>
  <c r="C72" i="2"/>
  <c r="E24" i="2"/>
  <c r="K1" i="2"/>
  <c r="F27" i="2"/>
  <c r="I26" i="2"/>
  <c r="H22" i="2"/>
  <c r="E19" i="2"/>
  <c r="H39" i="2"/>
  <c r="K36" i="2"/>
  <c r="B67" i="2"/>
  <c r="B10" i="2"/>
  <c r="B71" i="2"/>
  <c r="B48" i="2"/>
  <c r="B68" i="2"/>
  <c r="K27" i="2"/>
  <c r="E20" i="2"/>
  <c r="G41" i="2"/>
  <c r="C38" i="2"/>
  <c r="A35" i="2"/>
  <c r="D32" i="2"/>
  <c r="G57" i="2"/>
  <c r="J53" i="2"/>
  <c r="I50" i="2"/>
  <c r="H67" i="2"/>
  <c r="C65" i="2"/>
  <c r="E62" i="2"/>
  <c r="K17" i="2"/>
  <c r="E15" i="2"/>
  <c r="G13" i="2"/>
  <c r="A11" i="2"/>
  <c r="G9" i="2"/>
  <c r="J6" i="2"/>
  <c r="H4" i="2"/>
  <c r="J45" i="2"/>
  <c r="D43" i="2"/>
  <c r="G75" i="2"/>
  <c r="A73" i="2"/>
  <c r="E28" i="2"/>
  <c r="D27" i="2"/>
  <c r="F25" i="2"/>
  <c r="J20" i="2"/>
  <c r="C41" i="2"/>
  <c r="J37" i="2"/>
  <c r="C36" i="2"/>
  <c r="F26" i="2"/>
  <c r="E26" i="2"/>
  <c r="E22" i="2"/>
  <c r="H19" i="2"/>
  <c r="A40" i="2"/>
  <c r="H37" i="2"/>
  <c r="J21" i="2"/>
  <c r="E38" i="2"/>
  <c r="A34" i="2"/>
  <c r="I30" i="2"/>
  <c r="K56" i="2"/>
  <c r="D52" i="2"/>
  <c r="F50" i="2"/>
  <c r="J66" i="2"/>
  <c r="C64" i="2"/>
  <c r="J48" i="2"/>
  <c r="E16" i="2"/>
  <c r="G14" i="2"/>
  <c r="G21" i="2"/>
  <c r="K40" i="2"/>
  <c r="C35" i="2"/>
  <c r="A33" i="2"/>
  <c r="H30" i="2"/>
  <c r="K55" i="2"/>
  <c r="I51" i="2"/>
  <c r="A69" i="2"/>
  <c r="D65" i="2"/>
  <c r="F63" i="2"/>
  <c r="D48" i="2"/>
  <c r="C47" i="2"/>
  <c r="D15" i="2"/>
  <c r="C13" i="2"/>
  <c r="D22" i="2"/>
  <c r="H41" i="2"/>
  <c r="A38" i="2"/>
  <c r="I33" i="2"/>
  <c r="A32" i="2"/>
  <c r="G30" i="2"/>
  <c r="D55" i="2"/>
  <c r="F52" i="2"/>
  <c r="I69" i="2"/>
  <c r="A68" i="2"/>
  <c r="G66" i="2"/>
  <c r="J26" i="2"/>
  <c r="A36" i="2"/>
  <c r="K51" i="2"/>
  <c r="D62" i="2"/>
  <c r="H47" i="2"/>
  <c r="C16" i="2"/>
  <c r="A12" i="2"/>
  <c r="G10" i="2"/>
  <c r="D7" i="2"/>
  <c r="F5" i="2"/>
  <c r="I45" i="2"/>
  <c r="A44" i="2"/>
  <c r="H76" i="2"/>
  <c r="E74" i="2"/>
  <c r="H33" i="2"/>
  <c r="F51" i="2"/>
  <c r="I64" i="2"/>
  <c r="C62" i="2"/>
  <c r="G16" i="2"/>
  <c r="A13" i="2"/>
  <c r="K10" i="2"/>
  <c r="C9" i="2"/>
  <c r="D6" i="2"/>
  <c r="K4" i="2"/>
  <c r="H45" i="2"/>
  <c r="E43" i="2"/>
  <c r="I74" i="2"/>
  <c r="E72" i="2"/>
  <c r="I1" i="2"/>
  <c r="F40" i="2"/>
  <c r="F57" i="2"/>
  <c r="E67" i="2"/>
  <c r="J62" i="2"/>
  <c r="D46" i="2"/>
  <c r="H14" i="2"/>
  <c r="I10" i="2"/>
  <c r="A9" i="2"/>
  <c r="G7" i="2"/>
  <c r="J4" i="2"/>
  <c r="F3" i="2"/>
  <c r="I43" i="2"/>
  <c r="F75" i="2"/>
  <c r="I72" i="2"/>
  <c r="A71" i="2"/>
  <c r="F24" i="2"/>
  <c r="E63" i="2"/>
  <c r="B76" i="2"/>
  <c r="B69" i="2"/>
  <c r="E25" i="2"/>
  <c r="K41" i="2"/>
  <c r="E35" i="2"/>
  <c r="F30" i="2"/>
  <c r="D51" i="2"/>
  <c r="J65" i="2"/>
  <c r="G48" i="2"/>
  <c r="I15" i="2"/>
  <c r="E11" i="2"/>
  <c r="E7" i="2"/>
  <c r="A3" i="2"/>
  <c r="K75" i="2"/>
  <c r="K71" i="2"/>
  <c r="G28" i="2"/>
  <c r="I21" i="2"/>
  <c r="D38" i="2"/>
  <c r="D28" i="2"/>
  <c r="I28" i="2"/>
  <c r="J22" i="2"/>
  <c r="I41" i="2"/>
  <c r="C39" i="2"/>
  <c r="A21" i="2"/>
  <c r="F35" i="2"/>
  <c r="H31" i="2"/>
  <c r="C56" i="2"/>
  <c r="E51" i="2"/>
  <c r="I67" i="2"/>
  <c r="G63" i="2"/>
  <c r="D17" i="2"/>
  <c r="H13" i="2"/>
  <c r="F22" i="2"/>
  <c r="B43" i="2"/>
  <c r="B62" i="2"/>
  <c r="B40" i="2"/>
  <c r="I39" i="2"/>
  <c r="J34" i="2"/>
  <c r="H56" i="2"/>
  <c r="J69" i="2"/>
  <c r="K64" i="2"/>
  <c r="E47" i="2"/>
  <c r="J14" i="2"/>
  <c r="J10" i="2"/>
  <c r="F6" i="2"/>
  <c r="C45" i="2"/>
  <c r="H74" i="2"/>
  <c r="I24" i="2"/>
  <c r="A28" i="2"/>
  <c r="A27" i="2"/>
  <c r="K19" i="2"/>
  <c r="E37" i="2"/>
  <c r="J25" i="2"/>
  <c r="K26" i="2"/>
  <c r="K21" i="2"/>
  <c r="D41" i="2"/>
  <c r="G38" i="2"/>
  <c r="C20" i="2"/>
  <c r="K34" i="2"/>
  <c r="D30" i="2"/>
  <c r="G55" i="2"/>
  <c r="K50" i="2"/>
  <c r="K65" i="2"/>
  <c r="H62" i="2"/>
  <c r="A16" i="2"/>
  <c r="H20" i="2"/>
  <c r="E36" i="2"/>
  <c r="E33" i="2"/>
  <c r="D57" i="2"/>
  <c r="C55" i="2"/>
  <c r="E69" i="2"/>
  <c r="J64" i="2"/>
  <c r="H61" i="2"/>
  <c r="K47" i="2"/>
  <c r="K14" i="2"/>
  <c r="C26" i="2"/>
  <c r="I40" i="2"/>
  <c r="J35" i="2"/>
  <c r="E32" i="2"/>
  <c r="H57" i="2"/>
  <c r="E53" i="2"/>
  <c r="H50" i="2"/>
  <c r="K67" i="2"/>
  <c r="H38" i="2"/>
  <c r="C51" i="2"/>
  <c r="F48" i="2"/>
  <c r="A17" i="2"/>
  <c r="K11" i="2"/>
  <c r="I8" i="2"/>
  <c r="A6" i="2"/>
  <c r="D45" i="2"/>
  <c r="F43" i="2"/>
  <c r="J74" i="2"/>
  <c r="C57" i="2"/>
  <c r="B26" i="2"/>
  <c r="B12" i="2"/>
  <c r="C28" i="2"/>
  <c r="J38" i="2"/>
  <c r="A55" i="2"/>
  <c r="I62" i="2"/>
  <c r="C14" i="2"/>
  <c r="G5" i="2"/>
  <c r="E73" i="2"/>
  <c r="K25" i="2"/>
  <c r="F36" i="2"/>
  <c r="D25" i="2"/>
  <c r="F21" i="2"/>
  <c r="D39" i="2"/>
  <c r="E57" i="2"/>
  <c r="C50" i="2"/>
  <c r="D61" i="2"/>
  <c r="K15" i="2"/>
  <c r="D37" i="2"/>
  <c r="K32" i="2"/>
  <c r="E56" i="2"/>
  <c r="K69" i="2"/>
  <c r="E64" i="2"/>
  <c r="J15" i="2"/>
  <c r="F20" i="2"/>
  <c r="C37" i="2"/>
  <c r="K31" i="2"/>
  <c r="J55" i="2"/>
  <c r="G51" i="2"/>
  <c r="F67" i="2"/>
  <c r="C22" i="2"/>
  <c r="I53" i="2"/>
  <c r="J12" i="2"/>
  <c r="H9" i="2"/>
  <c r="C5" i="2"/>
  <c r="E44" i="2"/>
  <c r="D75" i="2"/>
  <c r="H69" i="2"/>
  <c r="A63" i="2"/>
  <c r="F17" i="2"/>
  <c r="I12" i="2"/>
  <c r="A10" i="2"/>
  <c r="I6" i="2"/>
  <c r="F4" i="2"/>
  <c r="D44" i="2"/>
  <c r="H75" i="2"/>
  <c r="A72" i="2"/>
  <c r="D1" i="2"/>
  <c r="H35" i="2"/>
  <c r="A52" i="2"/>
  <c r="K61" i="2"/>
  <c r="F16" i="2"/>
  <c r="H11" i="2"/>
  <c r="K8" i="2"/>
  <c r="I5" i="2"/>
  <c r="K3" i="2"/>
  <c r="K76" i="2"/>
  <c r="G74" i="2"/>
  <c r="E71" i="2"/>
  <c r="H1" i="2"/>
  <c r="K7" i="2"/>
  <c r="I76" i="2"/>
  <c r="H24" i="2"/>
  <c r="G72" i="2"/>
  <c r="I68" i="2"/>
  <c r="K12" i="2"/>
  <c r="H5" i="2"/>
  <c r="F74" i="2"/>
  <c r="E1" i="2"/>
  <c r="G6" i="2"/>
  <c r="E27" i="2"/>
  <c r="K46" i="2"/>
  <c r="J8" i="2"/>
  <c r="J75" i="2"/>
  <c r="E41" i="2"/>
  <c r="C17" i="2"/>
  <c r="J24" i="2"/>
  <c r="G44" i="2"/>
  <c r="G26" i="2"/>
  <c r="E40" i="2"/>
  <c r="F33" i="2"/>
  <c r="H46" i="2"/>
  <c r="I34" i="2"/>
  <c r="H52" i="2"/>
  <c r="C63" i="2"/>
  <c r="D33" i="2"/>
  <c r="A53" i="2"/>
  <c r="H65" i="2"/>
  <c r="J17" i="2"/>
  <c r="K6" i="2"/>
  <c r="C43" i="2"/>
  <c r="J31" i="2"/>
  <c r="D47" i="2"/>
  <c r="G8" i="2"/>
  <c r="G3" i="2"/>
  <c r="C71" i="2"/>
  <c r="G24" i="2"/>
  <c r="H64" i="2"/>
  <c r="C48" i="2"/>
  <c r="J9" i="2"/>
  <c r="C8" i="2"/>
  <c r="A76" i="2"/>
  <c r="C24" i="2"/>
  <c r="G11" i="2"/>
  <c r="C74" i="2"/>
  <c r="J1" i="2"/>
  <c r="D9" i="2"/>
  <c r="I71" i="2"/>
  <c r="H71" i="2"/>
  <c r="A45" i="2"/>
  <c r="F12" i="2"/>
  <c r="F62" i="2"/>
  <c r="G73" i="2"/>
  <c r="A1" i="2"/>
  <c r="B8" i="2"/>
  <c r="A20" i="2"/>
  <c r="E31" i="2"/>
  <c r="D67" i="2"/>
  <c r="G17" i="2"/>
  <c r="D8" i="2"/>
  <c r="J76" i="2"/>
  <c r="G40" i="2"/>
  <c r="I22" i="2"/>
  <c r="J51" i="2"/>
  <c r="J56" i="2"/>
  <c r="H66" i="2"/>
  <c r="H17" i="2"/>
  <c r="K38" i="2"/>
  <c r="C52" i="2"/>
  <c r="D13" i="2"/>
  <c r="J44" i="2"/>
  <c r="F73" i="2"/>
  <c r="J63" i="2"/>
  <c r="E46" i="2"/>
  <c r="E10" i="2"/>
  <c r="A5" i="2"/>
  <c r="G76" i="2"/>
  <c r="J36" i="2"/>
  <c r="E17" i="2"/>
  <c r="E9" i="2"/>
  <c r="A4" i="2"/>
  <c r="C75" i="2"/>
  <c r="K66" i="2"/>
  <c r="I9" i="2"/>
  <c r="H48" i="2"/>
  <c r="E8" i="2"/>
  <c r="G61" i="2"/>
  <c r="C1" i="2"/>
  <c r="B1" i="2"/>
  <c r="B52" i="2"/>
  <c r="D26" i="2"/>
  <c r="G37" i="2"/>
  <c r="C53" i="2"/>
  <c r="F61" i="2"/>
  <c r="H12" i="2"/>
  <c r="D4" i="2"/>
  <c r="F72" i="2"/>
  <c r="C25" i="2"/>
  <c r="C21" i="2"/>
  <c r="G36" i="2"/>
  <c r="A57" i="2"/>
  <c r="H68" i="2"/>
  <c r="E48" i="2"/>
  <c r="C15" i="2"/>
  <c r="G25" i="2"/>
  <c r="K35" i="2"/>
  <c r="C32" i="2"/>
  <c r="F55" i="2"/>
  <c r="C68" i="2"/>
  <c r="K63" i="2"/>
  <c r="A14" i="2"/>
  <c r="G19" i="2"/>
  <c r="H34" i="2"/>
  <c r="F31" i="2"/>
  <c r="K53" i="2"/>
  <c r="D69" i="2"/>
  <c r="C67" i="2"/>
  <c r="D19" i="2"/>
  <c r="D68" i="2"/>
  <c r="I46" i="2"/>
  <c r="E12" i="2"/>
  <c r="J7" i="2"/>
  <c r="G4" i="2"/>
  <c r="K43" i="2"/>
  <c r="A74" i="2"/>
  <c r="G39" i="2"/>
  <c r="J67" i="2"/>
  <c r="K62" i="2"/>
  <c r="H15" i="2"/>
  <c r="J11" i="2"/>
  <c r="F9" i="2"/>
  <c r="J5" i="2"/>
  <c r="C4" i="2"/>
  <c r="J43" i="2"/>
  <c r="J73" i="2"/>
  <c r="F71" i="2"/>
  <c r="D31" i="2"/>
  <c r="G65" i="2"/>
  <c r="A61" i="2"/>
  <c r="G15" i="2"/>
  <c r="D10" i="2"/>
  <c r="F8" i="2"/>
  <c r="D5" i="2"/>
  <c r="C3" i="2"/>
  <c r="E76" i="2"/>
  <c r="H73" i="2"/>
  <c r="K24" i="2"/>
  <c r="I32" i="2"/>
  <c r="A46" i="2"/>
  <c r="C7" i="2"/>
  <c r="K74" i="2"/>
  <c r="C66" i="2"/>
  <c r="C12" i="2"/>
  <c r="J3" i="2"/>
  <c r="H72" i="2"/>
  <c r="F1" i="2"/>
  <c r="I4" i="2"/>
  <c r="I37" i="2"/>
  <c r="E13" i="2"/>
  <c r="A8" i="2"/>
  <c r="K30" i="2"/>
  <c r="D14" i="2"/>
  <c r="B25" i="2"/>
  <c r="D21" i="2"/>
  <c r="G33" i="2"/>
  <c r="C69" i="2"/>
  <c r="C46" i="2"/>
  <c r="K9" i="2"/>
  <c r="A19" i="2"/>
  <c r="H25" i="2"/>
  <c r="H53" i="2"/>
  <c r="E65" i="2"/>
  <c r="J41" i="2"/>
  <c r="G31" i="2"/>
  <c r="G67" i="2"/>
  <c r="G46" i="2"/>
  <c r="F13" i="2"/>
  <c r="J39" i="2"/>
  <c r="C31" i="2"/>
  <c r="J68" i="2"/>
  <c r="E30" i="2"/>
  <c r="F66" i="2"/>
  <c r="F11" i="2"/>
  <c r="H3" i="2"/>
  <c r="K73" i="2"/>
  <c r="A67" i="2"/>
  <c r="I14" i="2"/>
  <c r="D11" i="2"/>
  <c r="E5" i="2"/>
  <c r="A43" i="2"/>
  <c r="D73" i="2"/>
  <c r="H55" i="2"/>
  <c r="I13" i="2"/>
  <c r="E4" i="2"/>
  <c r="D72" i="2"/>
  <c r="A30" i="2"/>
  <c r="E45" i="2"/>
  <c r="D64" i="2"/>
  <c r="C44" i="2"/>
  <c r="E52" i="2"/>
  <c r="G50" i="2"/>
  <c r="D3" i="2"/>
  <c r="K39" i="2"/>
  <c r="C33" i="2"/>
  <c r="A65" i="2"/>
  <c r="I17" i="2"/>
  <c r="A41" i="2"/>
  <c r="D34" i="2"/>
  <c r="J50" i="2"/>
  <c r="I48" i="2"/>
  <c r="E21" i="2"/>
  <c r="J32" i="2"/>
  <c r="I56" i="2"/>
  <c r="E68" i="2"/>
  <c r="G56" i="2"/>
  <c r="E61" i="2"/>
  <c r="C11" i="2"/>
  <c r="E6" i="2"/>
  <c r="I75" i="2"/>
  <c r="D53" i="2"/>
  <c r="J13" i="2"/>
  <c r="H7" i="2"/>
  <c r="I44" i="2"/>
  <c r="K72" i="2"/>
  <c r="J52" i="2"/>
  <c r="I63" i="2"/>
  <c r="G12" i="2"/>
  <c r="H6" i="2"/>
  <c r="H44" i="2"/>
  <c r="J71" i="2"/>
  <c r="G43" i="2"/>
  <c r="C73" i="2"/>
  <c r="A75" i="2"/>
  <c r="G34" i="2"/>
  <c r="F7" i="2"/>
  <c r="D76" i="2"/>
  <c r="D24" i="2"/>
  <c r="E75" i="2"/>
  <c r="H10" i="2"/>
  <c r="F44" i="2"/>
  <c r="J47" i="2"/>
  <c r="D71" i="2"/>
</calcChain>
</file>

<file path=xl/sharedStrings.xml><?xml version="1.0" encoding="utf-8"?>
<sst xmlns="http://schemas.openxmlformats.org/spreadsheetml/2006/main" count="21" uniqueCount="16">
  <si>
    <t>Additional Comments</t>
  </si>
  <si>
    <t>$25.95 / $5.90</t>
  </si>
  <si>
    <t>Available through library as ebook.</t>
  </si>
  <si>
    <t>WJK</t>
  </si>
  <si>
    <t>20.99 (Amazon)</t>
  </si>
  <si>
    <t>Our library has this eBook available with unlimited user access. If you would like to purchase any of the three books published by Westminster John Knox Press, you can purchase for 50% off at their website using promo coDe WF20 through December 31, 2020.</t>
  </si>
  <si>
    <t>Students will select and read a book from recommended readings or an approved book of choice (not listed) for class presentation. More information from instructor.</t>
  </si>
  <si>
    <t>Understanding Your Suicide Grief: Ten Essential Touchstones</t>
  </si>
  <si>
    <t>Companion Press</t>
  </si>
  <si>
    <t>978-1879651586</t>
  </si>
  <si>
    <t>J. William Worden</t>
  </si>
  <si>
    <t>Grief Counseling and Grief Therapy: A Handbook for the Mental Health Practioner</t>
  </si>
  <si>
    <t>Springer Publishing</t>
  </si>
  <si>
    <t>3rd edition or later</t>
  </si>
  <si>
    <t>Varies by edition</t>
  </si>
  <si>
    <t>Out of print. Instructors can bring copies.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</si>
</sst>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8">
    <font>
      <sz val="10"/>
      <color rgb="FF000000"/>
      <name val="Arial"/>
    </font>
    <font>
      <sz val="11"/>
      <color theme="1"/>
      <name val="Arial"/>
      <family val="2"/>
      <scheme val="minor"/>
    </font>
    <font>
      <b/>
      <sz val="10"/>
      <color rgb="FF000000"/>
      <name val="Arial"/>
      <family val="2"/>
    </font>
    <font>
      <b/>
      <sz val="11"/>
      <color theme="1"/>
      <name val="Arial"/>
      <family val="2"/>
      <scheme val="minor"/>
    </font>
    <font>
      <b/>
      <sz val="11"/>
      <color rgb="FF000000"/>
      <name val="Arial"/>
      <family val="2"/>
      <scheme val="minor"/>
    </font>
    <font>
      <sz val="11"/>
      <color rgb="FF000000"/>
      <name val="Arial"/>
      <family val="2"/>
      <scheme val="minor"/>
    </font>
    <font>
      <sz val="11"/>
      <color rgb="FF000000"/>
      <name val="Arial"/>
      <family val="2"/>
    </font>
    <font>
      <sz val="11"/>
      <color rgb="FF000000"/>
      <name val="Roboto"/>
      <charset val="1"/>
    </font>
  </fonts>
  <fills count="3">
    <fill>
      <patternFill patternType="none"/>
    </fill>
    <fill>
      <patternFill patternType="gray125"/>
    </fill>
    <fill>
      <patternFill patternType="solid">
        <fgColor theme="4" tint="0.59996337778862885"/>
        <bgColor indexed="64"/>
      </patternFill>
    </fill>
  </fills>
  <borders count="1">
    <border>
      <left/>
      <right/>
      <top/>
      <bottom/>
      <diagonal/>
    </border>
  </borders>
  <cellStyleXfs count="1">
    <xf numFmtId="0" fontId="0" fillId="0" borderId="0"/>
  </cellStyleXfs>
  <cellXfs count="13">
    <xf numFmtId="0" fontId="0" fillId="0" borderId="0" xfId="0" applyFont="1" applyAlignment="1"/>
    <xf numFmtId="0" fontId="2" fillId="2" borderId="0" xfId="0" applyFont="1" applyFill="1" applyAlignment="1"/>
    <xf numFmtId="0" fontId="3" fillId="2" borderId="0" xfId="0" applyFont="1" applyFill="1"/>
    <xf numFmtId="0" fontId="4" fillId="2" borderId="0" xfId="0" applyFont="1" applyFill="1" applyAlignment="1"/>
    <xf numFmtId="0" fontId="5" fillId="0" borderId="0" xfId="0" applyFont="1" applyAlignment="1"/>
    <xf numFmtId="0" fontId="1" fillId="0" borderId="0" xfId="0" applyFont="1"/>
    <xf numFmtId="0" fontId="3" fillId="0" borderId="0" xfId="0" applyFont="1" applyFill="1"/>
    <xf numFmtId="0" fontId="4" fillId="0" borderId="0" xfId="0" applyFont="1" applyFill="1" applyAlignment="1"/>
    <xf numFmtId="0" fontId="2" fillId="0" borderId="0" xfId="0" applyFont="1" applyFill="1" applyAlignment="1"/>
    <xf numFmtId="0" fontId="1" fillId="0" borderId="0" xfId="0" applyFont="1" applyFill="1"/>
    <xf numFmtId="0" fontId="6" fillId="0" borderId="0" xfId="0" applyFont="1" applyAlignment="1"/>
    <xf numFmtId="0" fontId="7" fillId="0" borderId="0" xfId="0" applyFont="1" applyAlignment="1"/>
    <xf numFmtId="8" fontId="1" fillId="0" borderId="0" xfId="0" applyNumberFormat="1"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outlinePr summaryBelow="0" summaryRight="0"/>
  </sheetPr>
  <dimension ref="A1:L76"/>
  <sheetViews>
    <sheetView tabSelected="1" workbookViewId="0">
      <pane xSplit="1" ySplit="1" topLeftCell="B2" activePane="bottomRight" state="frozen"/>
      <selection pane="topRight" activeCell="B1" sqref="B1"/>
      <selection pane="bottomLeft" activeCell="A2" sqref="A2"/>
      <selection pane="bottomRight" activeCell="A54" sqref="A54"/>
    </sheetView>
  </sheetViews>
  <sheetFormatPr defaultColWidth="14.42578125" defaultRowHeight="15.75" customHeight="1"/>
  <cols>
    <col min="1" max="1" width="69.42578125" style="4" bestFit="1" customWidth="1"/>
    <col min="2" max="2" width="26.28515625" style="4" bestFit="1" customWidth="1"/>
    <col min="3" max="3" width="12.85546875" style="4" bestFit="1" customWidth="1"/>
    <col min="4" max="4" width="32.140625" style="4" bestFit="1" customWidth="1"/>
    <col min="5" max="5" width="46.28515625" style="4" customWidth="1"/>
    <col min="6" max="6" width="96.85546875" style="4" customWidth="1"/>
    <col min="7" max="7" width="36.7109375" style="4" bestFit="1" customWidth="1"/>
    <col min="8" max="8" width="5.7109375" style="4" bestFit="1" customWidth="1"/>
    <col min="9" max="9" width="43" style="4" bestFit="1" customWidth="1"/>
    <col min="10" max="10" width="17.42578125" style="4" bestFit="1" customWidth="1"/>
    <col min="11" max="11" width="16" style="4" bestFit="1" customWidth="1"/>
    <col min="12" max="12" width="250.42578125" style="4" bestFit="1" customWidth="1"/>
  </cols>
  <sheetData>
    <row r="1" spans="1:12" s="1" customFormat="1" ht="15.75" customHeight="1">
      <c r="A1" s="2" t="str">
        <f ca="1">IFERROR(__xludf.DUMMYFUNCTION("""COMPUTED_VALUE"""),"Course Name (Number)")</f>
        <v>Course Name (Number)</v>
      </c>
      <c r="B1" s="2" t="str">
        <f ca="1">IFERROR(__xludf.DUMMYFUNCTION("""COMPUTED_VALUE"""),"Instructor(s)")</f>
        <v>Instructor(s)</v>
      </c>
      <c r="C1" s="2" t="str">
        <f ca="1">IFERROR(__xludf.DUMMYFUNCTION("""COMPUTED_VALUE"""),"Semester/Year")</f>
        <v>Semester/Year</v>
      </c>
      <c r="D1" s="2" t="str">
        <f ca="1">IFERROR(__xludf.DUMMYFUNCTION("""COMPUTED_VALUE"""),"This book/resource is:")</f>
        <v>This book/resource is:</v>
      </c>
      <c r="E1" s="2" t="str">
        <f ca="1">IFERROR(__xludf.DUMMYFUNCTION("""COMPUTED_VALUE"""),"Author/Editor")</f>
        <v>Author/Editor</v>
      </c>
      <c r="F1" s="2" t="str">
        <f ca="1">IFERROR(__xludf.DUMMYFUNCTION("""COMPUTED_VALUE"""),"Title")</f>
        <v>Title</v>
      </c>
      <c r="G1" s="2" t="str">
        <f ca="1">IFERROR(__xludf.DUMMYFUNCTION("""COMPUTED_VALUE"""),"Publisher")</f>
        <v>Publisher</v>
      </c>
      <c r="H1" s="2" t="str">
        <f ca="1">IFERROR(__xludf.DUMMYFUNCTION("""COMPUTED_VALUE"""),"Year of Publication")</f>
        <v>Year of Publication</v>
      </c>
      <c r="I1" s="2" t="str">
        <f ca="1">IFERROR(__xludf.DUMMYFUNCTION("""COMPUTED_VALUE"""),"Edition")</f>
        <v>Edition</v>
      </c>
      <c r="J1" s="2" t="str">
        <f ca="1">IFERROR(__xludf.DUMMYFUNCTION("""COMPUTED_VALUE"""),"ISBN (Preferred edition and paperback, if available)")</f>
        <v>ISBN (Preferred edition and paperback, if available)</v>
      </c>
      <c r="K1" s="2" t="str">
        <f ca="1">IFERROR(__xludf.DUMMYFUNCTION("""COMPUTED_VALUE"""),"Textbook Price (List/Amazon)")</f>
        <v>Textbook Price (List/Amazon)</v>
      </c>
      <c r="L1" s="3" t="s">
        <v>0</v>
      </c>
    </row>
    <row r="2" spans="1:12" s="8" customFormat="1" ht="15.75" customHeight="1">
      <c r="A2" s="6"/>
      <c r="B2" s="6"/>
      <c r="C2" s="6"/>
      <c r="D2" s="6"/>
      <c r="E2" s="6"/>
      <c r="F2" s="6"/>
      <c r="G2" s="6"/>
      <c r="H2" s="6"/>
      <c r="I2" s="6"/>
      <c r="J2" s="6"/>
      <c r="K2" s="6"/>
      <c r="L2" s="7"/>
    </row>
    <row r="3" spans="1:12" ht="15.75" customHeight="1">
      <c r="A3" s="5" t="str">
        <f ca="1">IFERROR(__xludf.DUMMYFUNCTION("""COMPUTED_VALUE"""),"CE 4103; DM 4103:  Writing for the Church")</f>
        <v>CE 4103; DM 4103:  Writing for the Church</v>
      </c>
      <c r="B3" s="5" t="str">
        <f ca="1">IFERROR(__xludf.DUMMYFUNCTION("""COMPUTED_VALUE"""),"Wigger, B.")</f>
        <v>Wigger, B.</v>
      </c>
      <c r="C3" s="5" t="str">
        <f ca="1">IFERROR(__xludf.DUMMYFUNCTION("""COMPUTED_VALUE"""),"J-Term 2021")</f>
        <v>J-Term 2021</v>
      </c>
      <c r="D3" s="5" t="str">
        <f ca="1">IFERROR(__xludf.DUMMYFUNCTION("""COMPUTED_VALUE"""),"Required")</f>
        <v>Required</v>
      </c>
      <c r="E3" s="5" t="str">
        <f ca="1">IFERROR(__xludf.DUMMYFUNCTION("""COMPUTED_VALUE"""),"Roy Peter Clark")</f>
        <v>Roy Peter Clark</v>
      </c>
      <c r="F3" s="5" t="str">
        <f ca="1">IFERROR(__xludf.DUMMYFUNCTION("""COMPUTED_VALUE"""),"Writing Tools: 50 Essential Strategies for Every Writer")</f>
        <v>Writing Tools: 50 Essential Strategies for Every Writer</v>
      </c>
      <c r="G3" s="5" t="str">
        <f ca="1">IFERROR(__xludf.DUMMYFUNCTION("""COMPUTED_VALUE"""),"Little, Brown, and Company")</f>
        <v>Little, Brown, and Company</v>
      </c>
      <c r="H3" s="5">
        <f ca="1">IFERROR(__xludf.DUMMYFUNCTION("""COMPUTED_VALUE"""),2008)</f>
        <v>2008</v>
      </c>
      <c r="I3" s="5" t="str">
        <f ca="1">IFERROR(__xludf.DUMMYFUNCTION("""COMPUTED_VALUE"""),"1st edition")</f>
        <v>1st edition</v>
      </c>
      <c r="J3" s="5" t="str">
        <f ca="1">IFERROR(__xludf.DUMMYFUNCTION("""COMPUTED_VALUE"""),"978-0316014991")</f>
        <v>978-0316014991</v>
      </c>
      <c r="K3" s="5" t="str">
        <f ca="1">IFERROR(__xludf.DUMMYFUNCTION("""COMPUTED_VALUE"""),"$16.99 / $7.99")</f>
        <v>$16.99 / $7.99</v>
      </c>
    </row>
    <row r="4" spans="1:12" ht="15.75" customHeight="1">
      <c r="A4" s="5" t="str">
        <f ca="1">IFERROR(__xludf.DUMMYFUNCTION("""COMPUTED_VALUE"""),"CE 4103; DM 4103:  Writing for the Church")</f>
        <v>CE 4103; DM 4103:  Writing for the Church</v>
      </c>
      <c r="B4" s="5" t="str">
        <f ca="1">IFERROR(__xludf.DUMMYFUNCTION("""COMPUTED_VALUE"""),"Wigger, B.")</f>
        <v>Wigger, B.</v>
      </c>
      <c r="C4" s="5" t="str">
        <f ca="1">IFERROR(__xludf.DUMMYFUNCTION("""COMPUTED_VALUE"""),"J-Term 2021")</f>
        <v>J-Term 2021</v>
      </c>
      <c r="D4" s="5" t="str">
        <f ca="1">IFERROR(__xludf.DUMMYFUNCTION("""COMPUTED_VALUE"""),"Required")</f>
        <v>Required</v>
      </c>
      <c r="E4" s="5" t="str">
        <f ca="1">IFERROR(__xludf.DUMMYFUNCTION("""COMPUTED_VALUE"""),"Anne Lamott")</f>
        <v>Anne Lamott</v>
      </c>
      <c r="F4" s="5" t="str">
        <f ca="1">IFERROR(__xludf.DUMMYFUNCTION("""COMPUTED_VALUE"""),"Bird by Bird: Some Instructions on Writing and Life")</f>
        <v>Bird by Bird: Some Instructions on Writing and Life</v>
      </c>
      <c r="G4" s="5" t="str">
        <f ca="1">IFERROR(__xludf.DUMMYFUNCTION("""COMPUTED_VALUE"""),"Doubleday")</f>
        <v>Doubleday</v>
      </c>
      <c r="H4" s="5">
        <f ca="1">IFERROR(__xludf.DUMMYFUNCTION("""COMPUTED_VALUE"""),1995)</f>
        <v>1995</v>
      </c>
      <c r="I4" s="5" t="str">
        <f ca="1">IFERROR(__xludf.DUMMYFUNCTION("""COMPUTED_VALUE"""),"1st edition")</f>
        <v>1st edition</v>
      </c>
      <c r="J4" s="5" t="str">
        <f ca="1">IFERROR(__xludf.DUMMYFUNCTION("""COMPUTED_VALUE"""),"978-0385480017")</f>
        <v>978-0385480017</v>
      </c>
      <c r="K4" s="5" t="str">
        <f ca="1">IFERROR(__xludf.DUMMYFUNCTION("""COMPUTED_VALUE"""),"$16.00 / $8.69")</f>
        <v>$16.00 / $8.69</v>
      </c>
    </row>
    <row r="5" spans="1:12" ht="15.75" customHeight="1">
      <c r="A5" s="5" t="str">
        <f ca="1">IFERROR(__xludf.DUMMYFUNCTION("""COMPUTED_VALUE"""),"CE 4103; DM 4103:  Writing for the Church")</f>
        <v>CE 4103; DM 4103:  Writing for the Church</v>
      </c>
      <c r="B5" s="5" t="str">
        <f ca="1">IFERROR(__xludf.DUMMYFUNCTION("""COMPUTED_VALUE"""),"Wigger, B.")</f>
        <v>Wigger, B.</v>
      </c>
      <c r="C5" s="5" t="str">
        <f ca="1">IFERROR(__xludf.DUMMYFUNCTION("""COMPUTED_VALUE"""),"J-Term 2021")</f>
        <v>J-Term 2021</v>
      </c>
      <c r="D5" s="5" t="str">
        <f ca="1">IFERROR(__xludf.DUMMYFUNCTION("""COMPUTED_VALUE"""),"Required")</f>
        <v>Required</v>
      </c>
      <c r="E5" s="5" t="str">
        <f ca="1">IFERROR(__xludf.DUMMYFUNCTION("""COMPUTED_VALUE"""),"Frank X. Walker")</f>
        <v>Frank X. Walker</v>
      </c>
      <c r="F5" s="5" t="str">
        <f ca="1">IFERROR(__xludf.DUMMYFUNCTION("""COMPUTED_VALUE"""),"Affrilachia: Poems by Frank X. Walker")</f>
        <v>Affrilachia: Poems by Frank X. Walker</v>
      </c>
      <c r="G5" s="5" t="str">
        <f ca="1">IFERROR(__xludf.DUMMYFUNCTION("""COMPUTED_VALUE"""),"Old Cove Press")</f>
        <v>Old Cove Press</v>
      </c>
      <c r="H5" s="5">
        <f ca="1">IFERROR(__xludf.DUMMYFUNCTION("""COMPUTED_VALUE"""),2000)</f>
        <v>2000</v>
      </c>
      <c r="I5" s="5" t="str">
        <f ca="1">IFERROR(__xludf.DUMMYFUNCTION("""COMPUTED_VALUE"""),"1st edition")</f>
        <v>1st edition</v>
      </c>
      <c r="J5" s="5" t="str">
        <f ca="1">IFERROR(__xludf.DUMMYFUNCTION("""COMPUTED_VALUE""")," 978-0967542409")</f>
        <v xml:space="preserve"> 978-0967542409</v>
      </c>
      <c r="K5" s="5" t="str">
        <f ca="1">IFERROR(__xludf.DUMMYFUNCTION("""COMPUTED_VALUE"""),"/ $26.00")</f>
        <v>/ $26.00</v>
      </c>
    </row>
    <row r="6" spans="1:12" ht="15.75" customHeight="1">
      <c r="A6" s="5" t="str">
        <f ca="1">IFERROR(__xludf.DUMMYFUNCTION("""COMPUTED_VALUE"""),"CE 4103; DM 4103:  Writing for the Church")</f>
        <v>CE 4103; DM 4103:  Writing for the Church</v>
      </c>
      <c r="B6" s="5" t="str">
        <f ca="1">IFERROR(__xludf.DUMMYFUNCTION("""COMPUTED_VALUE"""),"Wigger, B.")</f>
        <v>Wigger, B.</v>
      </c>
      <c r="C6" s="5" t="str">
        <f ca="1">IFERROR(__xludf.DUMMYFUNCTION("""COMPUTED_VALUE"""),"J-Term 2021")</f>
        <v>J-Term 2021</v>
      </c>
      <c r="D6" s="5" t="str">
        <f ca="1">IFERROR(__xludf.DUMMYFUNCTION("""COMPUTED_VALUE"""),"Required")</f>
        <v>Required</v>
      </c>
      <c r="E6" s="5" t="str">
        <f ca="1">IFERROR(__xludf.DUMMYFUNCTION("""COMPUTED_VALUE"""),"William Zinsser")</f>
        <v>William Zinsser</v>
      </c>
      <c r="F6" s="5" t="str">
        <f ca="1">IFERROR(__xludf.DUMMYFUNCTION("""COMPUTED_VALUE"""),"Going on Faith: Writing as a Spiritual Quest.")</f>
        <v>Going on Faith: Writing as a Spiritual Quest.</v>
      </c>
      <c r="G6" s="5" t="str">
        <f ca="1">IFERROR(__xludf.DUMMYFUNCTION("""COMPUTED_VALUE"""),"Marlowe &amp; Company; Da Capo Press")</f>
        <v>Marlowe &amp; Company; Da Capo Press</v>
      </c>
      <c r="H6" s="5">
        <f ca="1">IFERROR(__xludf.DUMMYFUNCTION("""COMPUTED_VALUE"""),1999)</f>
        <v>1999</v>
      </c>
      <c r="I6" s="5" t="str">
        <f ca="1">IFERROR(__xludf.DUMMYFUNCTION("""COMPUTED_VALUE"""),"2nd edition")</f>
        <v>2nd edition</v>
      </c>
      <c r="J6" s="5" t="str">
        <f ca="1">IFERROR(__xludf.DUMMYFUNCTION("""COMPUTED_VALUE"""),"978-1569246863")</f>
        <v>978-1569246863</v>
      </c>
      <c r="K6" s="5" t="str">
        <f ca="1">IFERROR(__xludf.DUMMYFUNCTION("""COMPUTED_VALUE"""),"/ $8.95")</f>
        <v>/ $8.95</v>
      </c>
    </row>
    <row r="7" spans="1:12" ht="15.75" customHeight="1">
      <c r="A7" s="5" t="str">
        <f ca="1">IFERROR(__xludf.DUMMYFUNCTION("""COMPUTED_VALUE"""),"CE 4103; DM 4103:  Writing for the Church")</f>
        <v>CE 4103; DM 4103:  Writing for the Church</v>
      </c>
      <c r="B7" s="5" t="str">
        <f ca="1">IFERROR(__xludf.DUMMYFUNCTION("""COMPUTED_VALUE"""),"Wigger, B.")</f>
        <v>Wigger, B.</v>
      </c>
      <c r="C7" s="5" t="str">
        <f ca="1">IFERROR(__xludf.DUMMYFUNCTION("""COMPUTED_VALUE"""),"J-Term 2021")</f>
        <v>J-Term 2021</v>
      </c>
      <c r="D7" s="5" t="str">
        <f ca="1">IFERROR(__xludf.DUMMYFUNCTION("""COMPUTED_VALUE"""),"Option for additional required text")</f>
        <v>Option for additional required text</v>
      </c>
      <c r="E7" s="5" t="str">
        <f ca="1">IFERROR(__xludf.DUMMYFUNCTION("""COMPUTED_VALUE"""),"Lynda Barry")</f>
        <v>Lynda Barry</v>
      </c>
      <c r="F7" s="5" t="str">
        <f ca="1">IFERROR(__xludf.DUMMYFUNCTION("""COMPUTED_VALUE"""),"What It Is")</f>
        <v>What It Is</v>
      </c>
      <c r="G7" s="5" t="str">
        <f ca="1">IFERROR(__xludf.DUMMYFUNCTION("""COMPUTED_VALUE"""),"Drawn &amp; Quarterly Press")</f>
        <v>Drawn &amp; Quarterly Press</v>
      </c>
      <c r="H7" s="5">
        <f ca="1">IFERROR(__xludf.DUMMYFUNCTION("""COMPUTED_VALUE"""),2008)</f>
        <v>2008</v>
      </c>
      <c r="I7" s="5" t="str">
        <f ca="1">IFERROR(__xludf.DUMMYFUNCTION("""COMPUTED_VALUE"""),"Illustrated edition")</f>
        <v>Illustrated edition</v>
      </c>
      <c r="J7" s="5" t="str">
        <f ca="1">IFERROR(__xludf.DUMMYFUNCTION("""COMPUTED_VALUE""")," 978-1897299357")</f>
        <v xml:space="preserve"> 978-1897299357</v>
      </c>
      <c r="K7" s="5" t="str">
        <f ca="1">IFERROR(__xludf.DUMMYFUNCTION("""COMPUTED_VALUE"""),"$24.95 / $20.99")</f>
        <v>$24.95 / $20.99</v>
      </c>
    </row>
    <row r="8" spans="1:12" ht="15.75" customHeight="1">
      <c r="A8" s="5" t="str">
        <f ca="1">IFERROR(__xludf.DUMMYFUNCTION("""COMPUTED_VALUE"""),"CE 4103; DM 4103:  Writing for the Church")</f>
        <v>CE 4103; DM 4103:  Writing for the Church</v>
      </c>
      <c r="B8" s="5" t="str">
        <f ca="1">IFERROR(__xludf.DUMMYFUNCTION("""COMPUTED_VALUE"""),"Wigger, B.")</f>
        <v>Wigger, B.</v>
      </c>
      <c r="C8" s="5" t="str">
        <f ca="1">IFERROR(__xludf.DUMMYFUNCTION("""COMPUTED_VALUE"""),"J-Term 2021")</f>
        <v>J-Term 2021</v>
      </c>
      <c r="D8" s="5" t="str">
        <f ca="1">IFERROR(__xludf.DUMMYFUNCTION("""COMPUTED_VALUE"""),"Option for additional required text")</f>
        <v>Option for additional required text</v>
      </c>
      <c r="E8" s="5" t="str">
        <f ca="1">IFERROR(__xludf.DUMMYFUNCTION("""COMPUTED_VALUE"""),"Lynda Barry")</f>
        <v>Lynda Barry</v>
      </c>
      <c r="F8" s="5" t="str">
        <f ca="1">IFERROR(__xludf.DUMMYFUNCTION("""COMPUTED_VALUE"""),"Making Comics")</f>
        <v>Making Comics</v>
      </c>
      <c r="G8" s="5" t="str">
        <f ca="1">IFERROR(__xludf.DUMMYFUNCTION("""COMPUTED_VALUE"""),"Drawn &amp; Quarterly Press")</f>
        <v>Drawn &amp; Quarterly Press</v>
      </c>
      <c r="H8" s="5">
        <f ca="1">IFERROR(__xludf.DUMMYFUNCTION("""COMPUTED_VALUE"""),2019)</f>
        <v>2019</v>
      </c>
      <c r="I8" s="5" t="str">
        <f ca="1">IFERROR(__xludf.DUMMYFUNCTION("""COMPUTED_VALUE"""),"Illustrated Edition")</f>
        <v>Illustrated Edition</v>
      </c>
      <c r="J8" s="5" t="str">
        <f ca="1">IFERROR(__xludf.DUMMYFUNCTION("""COMPUTED_VALUE"""),"978-1770463691")</f>
        <v>978-1770463691</v>
      </c>
      <c r="K8" s="5" t="str">
        <f ca="1">IFERROR(__xludf.DUMMYFUNCTION("""COMPUTED_VALUE"""),"$22.95 / $16.19")</f>
        <v>$22.95 / $16.19</v>
      </c>
    </row>
    <row r="9" spans="1:12" ht="15.75" customHeight="1">
      <c r="A9" s="5" t="str">
        <f ca="1">IFERROR(__xludf.DUMMYFUNCTION("""COMPUTED_VALUE"""),"CE 4103; DM 4103:  Writing for the Church")</f>
        <v>CE 4103; DM 4103:  Writing for the Church</v>
      </c>
      <c r="B9" s="5" t="str">
        <f ca="1">IFERROR(__xludf.DUMMYFUNCTION("""COMPUTED_VALUE"""),"Wigger, B.")</f>
        <v>Wigger, B.</v>
      </c>
      <c r="C9" s="5" t="str">
        <f ca="1">IFERROR(__xludf.DUMMYFUNCTION("""COMPUTED_VALUE"""),"J-Term 2021")</f>
        <v>J-Term 2021</v>
      </c>
      <c r="D9" s="5" t="str">
        <f ca="1">IFERROR(__xludf.DUMMYFUNCTION("""COMPUTED_VALUE"""),"Option for additional required text")</f>
        <v>Option for additional required text</v>
      </c>
      <c r="E9" s="5" t="str">
        <f ca="1">IFERROR(__xludf.DUMMYFUNCTION("""COMPUTED_VALUE"""),"Ray Bradbury")</f>
        <v>Ray Bradbury</v>
      </c>
      <c r="F9" s="5" t="str">
        <f ca="1">IFERROR(__xludf.DUMMYFUNCTION("""COMPUTED_VALUE"""),"Zen in the Art of Writing")</f>
        <v>Zen in the Art of Writing</v>
      </c>
      <c r="G9" s="5" t="str">
        <f ca="1">IFERROR(__xludf.DUMMYFUNCTION("""COMPUTED_VALUE"""),"Joshua Odell Editions")</f>
        <v>Joshua Odell Editions</v>
      </c>
      <c r="H9" s="5">
        <f ca="1">IFERROR(__xludf.DUMMYFUNCTION("""COMPUTED_VALUE"""),1990)</f>
        <v>1990</v>
      </c>
      <c r="I9" s="5" t="str">
        <f ca="1">IFERROR(__xludf.DUMMYFUNCTION("""COMPUTED_VALUE"""),"N/A")</f>
        <v>N/A</v>
      </c>
      <c r="J9" s="5" t="str">
        <f ca="1">IFERROR(__xludf.DUMMYFUNCTION("""COMPUTED_VALUE"""),"978-0008136512")</f>
        <v>978-0008136512</v>
      </c>
      <c r="K9" s="5" t="str">
        <f ca="1">IFERROR(__xludf.DUMMYFUNCTION("""COMPUTED_VALUE"""),"/ $16.81")</f>
        <v>/ $16.81</v>
      </c>
    </row>
    <row r="10" spans="1:12" ht="15.75" customHeight="1">
      <c r="A10" s="5" t="str">
        <f ca="1">IFERROR(__xludf.DUMMYFUNCTION("""COMPUTED_VALUE"""),"CE 4103; DM 4103:  Writing for the Church")</f>
        <v>CE 4103; DM 4103:  Writing for the Church</v>
      </c>
      <c r="B10" s="5" t="str">
        <f ca="1">IFERROR(__xludf.DUMMYFUNCTION("""COMPUTED_VALUE"""),"Wigger, B.")</f>
        <v>Wigger, B.</v>
      </c>
      <c r="C10" s="5" t="str">
        <f ca="1">IFERROR(__xludf.DUMMYFUNCTION("""COMPUTED_VALUE"""),"J-Term 2021")</f>
        <v>J-Term 2021</v>
      </c>
      <c r="D10" s="5" t="str">
        <f ca="1">IFERROR(__xludf.DUMMYFUNCTION("""COMPUTED_VALUE"""),"Option for additional required text")</f>
        <v>Option for additional required text</v>
      </c>
      <c r="E10" s="5" t="str">
        <f ca="1">IFERROR(__xludf.DUMMYFUNCTION("""COMPUTED_VALUE"""),"Louise DeSalvo")</f>
        <v>Louise DeSalvo</v>
      </c>
      <c r="F10" s="5" t="str">
        <f ca="1">IFERROR(__xludf.DUMMYFUNCTION("""COMPUTED_VALUE"""),"The Art of Slow Writing: Reflections on Time, Craft. and Creativity")</f>
        <v>The Art of Slow Writing: Reflections on Time, Craft. and Creativity</v>
      </c>
      <c r="G10" s="5" t="str">
        <f ca="1">IFERROR(__xludf.DUMMYFUNCTION("""COMPUTED_VALUE"""),"St. Martin's Griffin")</f>
        <v>St. Martin's Griffin</v>
      </c>
      <c r="H10" s="5">
        <f ca="1">IFERROR(__xludf.DUMMYFUNCTION("""COMPUTED_VALUE"""),2014)</f>
        <v>2014</v>
      </c>
      <c r="I10" s="5" t="str">
        <f ca="1">IFERROR(__xludf.DUMMYFUNCTION("""COMPUTED_VALUE"""),"1st edition")</f>
        <v>1st edition</v>
      </c>
      <c r="J10" s="5" t="str">
        <f ca="1">IFERROR(__xludf.DUMMYFUNCTION("""COMPUTED_VALUE"""),"978-1250051035")</f>
        <v>978-1250051035</v>
      </c>
      <c r="K10" s="5" t="str">
        <f ca="1">IFERROR(__xludf.DUMMYFUNCTION("""COMPUTED_VALUE"""),"$18.99 / $17.29")</f>
        <v>$18.99 / $17.29</v>
      </c>
    </row>
    <row r="11" spans="1:12" ht="15.75" customHeight="1">
      <c r="A11" s="5" t="str">
        <f ca="1">IFERROR(__xludf.DUMMYFUNCTION("""COMPUTED_VALUE"""),"CE 4103; DM 4103:  Writing for the Church")</f>
        <v>CE 4103; DM 4103:  Writing for the Church</v>
      </c>
      <c r="B11" s="5" t="str">
        <f ca="1">IFERROR(__xludf.DUMMYFUNCTION("""COMPUTED_VALUE"""),"Wigger, B.")</f>
        <v>Wigger, B.</v>
      </c>
      <c r="C11" s="5" t="str">
        <f ca="1">IFERROR(__xludf.DUMMYFUNCTION("""COMPUTED_VALUE"""),"J-Term 2021")</f>
        <v>J-Term 2021</v>
      </c>
      <c r="D11" s="5" t="str">
        <f ca="1">IFERROR(__xludf.DUMMYFUNCTION("""COMPUTED_VALUE"""),"Option for additional required text")</f>
        <v>Option for additional required text</v>
      </c>
      <c r="E11" s="5" t="str">
        <f ca="1">IFERROR(__xludf.DUMMYFUNCTION("""COMPUTED_VALUE"""),"Natalie Goldberg")</f>
        <v>Natalie Goldberg</v>
      </c>
      <c r="F11" s="5" t="str">
        <f ca="1">IFERROR(__xludf.DUMMYFUNCTION("""COMPUTED_VALUE"""),"The Secret of Writing: Connecting Life with Language")</f>
        <v>The Secret of Writing: Connecting Life with Language</v>
      </c>
      <c r="G11" s="5" t="str">
        <f ca="1">IFERROR(__xludf.DUMMYFUNCTION("""COMPUTED_VALUE"""),"Atria Books")</f>
        <v>Atria Books</v>
      </c>
      <c r="H11" s="5">
        <f ca="1">IFERROR(__xludf.DUMMYFUNCTION("""COMPUTED_VALUE"""),2014)</f>
        <v>2014</v>
      </c>
      <c r="I11" s="5" t="str">
        <f ca="1">IFERROR(__xludf.DUMMYFUNCTION("""COMPUTED_VALUE"""),"Reprint Edition")</f>
        <v>Reprint Edition</v>
      </c>
      <c r="J11" s="5" t="str">
        <f ca="1">IFERROR(__xludf.DUMMYFUNCTION("""COMPUTED_VALUE"""),"978-1451641257")</f>
        <v>978-1451641257</v>
      </c>
      <c r="K11" s="5" t="str">
        <f ca="1">IFERROR(__xludf.DUMMYFUNCTION("""COMPUTED_VALUE"""),"$16.99 / $13.49")</f>
        <v>$16.99 / $13.49</v>
      </c>
    </row>
    <row r="12" spans="1:12" ht="15.75" customHeight="1">
      <c r="A12" s="5" t="str">
        <f ca="1">IFERROR(__xludf.DUMMYFUNCTION("""COMPUTED_VALUE"""),"CE 4103; DM 4103:  Writing for the Church")</f>
        <v>CE 4103; DM 4103:  Writing for the Church</v>
      </c>
      <c r="B12" s="5" t="str">
        <f ca="1">IFERROR(__xludf.DUMMYFUNCTION("""COMPUTED_VALUE"""),"Wigger, B.")</f>
        <v>Wigger, B.</v>
      </c>
      <c r="C12" s="5" t="str">
        <f ca="1">IFERROR(__xludf.DUMMYFUNCTION("""COMPUTED_VALUE"""),"J-Term 2021")</f>
        <v>J-Term 2021</v>
      </c>
      <c r="D12" s="5" t="str">
        <f ca="1">IFERROR(__xludf.DUMMYFUNCTION("""COMPUTED_VALUE"""),"Option for additional required text")</f>
        <v>Option for additional required text</v>
      </c>
      <c r="E12" s="5" t="str">
        <f ca="1">IFERROR(__xludf.DUMMYFUNCTION("""COMPUTED_VALUE"""),"Mary Karr")</f>
        <v>Mary Karr</v>
      </c>
      <c r="F12" s="5" t="str">
        <f ca="1">IFERROR(__xludf.DUMMYFUNCTION("""COMPUTED_VALUE"""),"The Art of Memoir")</f>
        <v>The Art of Memoir</v>
      </c>
      <c r="G12" s="5" t="str">
        <f ca="1">IFERROR(__xludf.DUMMYFUNCTION("""COMPUTED_VALUE"""),"Harper Perennial")</f>
        <v>Harper Perennial</v>
      </c>
      <c r="H12" s="5">
        <f ca="1">IFERROR(__xludf.DUMMYFUNCTION("""COMPUTED_VALUE"""),2016)</f>
        <v>2016</v>
      </c>
      <c r="I12" s="5" t="str">
        <f ca="1">IFERROR(__xludf.DUMMYFUNCTION("""COMPUTED_VALUE"""),"Reprint Edition")</f>
        <v>Reprint Edition</v>
      </c>
      <c r="J12" s="5" t="str">
        <f ca="1">IFERROR(__xludf.DUMMYFUNCTION("""COMPUTED_VALUE"""),"978-0062223074")</f>
        <v>978-0062223074</v>
      </c>
      <c r="K12" s="5" t="str">
        <f ca="1">IFERROR(__xludf.DUMMYFUNCTION("""COMPUTED_VALUE"""),"$15.99 / $14.49")</f>
        <v>$15.99 / $14.49</v>
      </c>
    </row>
    <row r="13" spans="1:12" ht="15.75" customHeight="1">
      <c r="A13" s="5" t="str">
        <f ca="1">IFERROR(__xludf.DUMMYFUNCTION("""COMPUTED_VALUE"""),"CE 4103; DM 4103:  Writing for the Church")</f>
        <v>CE 4103; DM 4103:  Writing for the Church</v>
      </c>
      <c r="B13" s="5" t="str">
        <f ca="1">IFERROR(__xludf.DUMMYFUNCTION("""COMPUTED_VALUE"""),"Wigger, B.")</f>
        <v>Wigger, B.</v>
      </c>
      <c r="C13" s="5" t="str">
        <f ca="1">IFERROR(__xludf.DUMMYFUNCTION("""COMPUTED_VALUE"""),"J-Term 2021")</f>
        <v>J-Term 2021</v>
      </c>
      <c r="D13" s="5" t="str">
        <f ca="1">IFERROR(__xludf.DUMMYFUNCTION("""COMPUTED_VALUE"""),"Option for additional required text")</f>
        <v>Option for additional required text</v>
      </c>
      <c r="E13" s="5" t="str">
        <f ca="1">IFERROR(__xludf.DUMMYFUNCTION("""COMPUTED_VALUE"""),"Stephen King")</f>
        <v>Stephen King</v>
      </c>
      <c r="F13" s="5" t="str">
        <f ca="1">IFERROR(__xludf.DUMMYFUNCTION("""COMPUTED_VALUE"""),"On Writing: A Memoir of the Craft")</f>
        <v>On Writing: A Memoir of the Craft</v>
      </c>
      <c r="G13" s="5" t="str">
        <f ca="1">IFERROR(__xludf.DUMMYFUNCTION("""COMPUTED_VALUE"""),"Scribner")</f>
        <v>Scribner</v>
      </c>
      <c r="H13" s="5">
        <f ca="1">IFERROR(__xludf.DUMMYFUNCTION("""COMPUTED_VALUE"""),2020)</f>
        <v>2020</v>
      </c>
      <c r="I13" s="5" t="str">
        <f ca="1">IFERROR(__xludf.DUMMYFUNCTION("""COMPUTED_VALUE"""),"Reissue edition")</f>
        <v>Reissue edition</v>
      </c>
      <c r="J13" s="5" t="str">
        <f ca="1">IFERROR(__xludf.DUMMYFUNCTION("""COMPUTED_VALUE"""),"978-1982159375")</f>
        <v>978-1982159375</v>
      </c>
      <c r="K13" s="5" t="str">
        <f ca="1">IFERROR(__xludf.DUMMYFUNCTION("""COMPUTED_VALUE"""),"$18.00 / $14.62")</f>
        <v>$18.00 / $14.62</v>
      </c>
    </row>
    <row r="14" spans="1:12" ht="15.75" customHeight="1">
      <c r="A14" s="5" t="str">
        <f ca="1">IFERROR(__xludf.DUMMYFUNCTION("""COMPUTED_VALUE"""),"CE 4103; DM 4103:  Writing for the Church")</f>
        <v>CE 4103; DM 4103:  Writing for the Church</v>
      </c>
      <c r="B14" s="5" t="str">
        <f ca="1">IFERROR(__xludf.DUMMYFUNCTION("""COMPUTED_VALUE"""),"Wigger, B.")</f>
        <v>Wigger, B.</v>
      </c>
      <c r="C14" s="5" t="str">
        <f ca="1">IFERROR(__xludf.DUMMYFUNCTION("""COMPUTED_VALUE"""),"J-Term 2021")</f>
        <v>J-Term 2021</v>
      </c>
      <c r="D14" s="5" t="str">
        <f ca="1">IFERROR(__xludf.DUMMYFUNCTION("""COMPUTED_VALUE"""),"Option for additional required text")</f>
        <v>Option for additional required text</v>
      </c>
      <c r="E14" s="5" t="str">
        <f ca="1">IFERROR(__xludf.DUMMYFUNCTION("""COMPUTED_VALUE"""),"Mario Llosa Vargas (author) and Natasha Wimmer (translator)")</f>
        <v>Mario Llosa Vargas (author) and Natasha Wimmer (translator)</v>
      </c>
      <c r="F14" s="5" t="str">
        <f ca="1">IFERROR(__xludf.DUMMYFUNCTION("""COMPUTED_VALUE"""),"Letters to a Young Novelist")</f>
        <v>Letters to a Young Novelist</v>
      </c>
      <c r="G14" s="5" t="str">
        <f ca="1">IFERROR(__xludf.DUMMYFUNCTION("""COMPUTED_VALUE"""),"Picador")</f>
        <v>Picador</v>
      </c>
      <c r="H14" s="5">
        <f ca="1">IFERROR(__xludf.DUMMYFUNCTION("""COMPUTED_VALUE"""),2003)</f>
        <v>2003</v>
      </c>
      <c r="I14" s="5" t="str">
        <f ca="1">IFERROR(__xludf.DUMMYFUNCTION("""COMPUTED_VALUE"""),"1st edition")</f>
        <v>1st edition</v>
      </c>
      <c r="J14" s="5" t="str">
        <f ca="1">IFERROR(__xludf.DUMMYFUNCTION("""COMPUTED_VALUE""")," 978-0312421724")</f>
        <v xml:space="preserve"> 978-0312421724</v>
      </c>
      <c r="K14" s="5" t="str">
        <f ca="1">IFERROR(__xludf.DUMMYFUNCTION("""COMPUTED_VALUE"""),"$16.00 / $13.92")</f>
        <v>$16.00 / $13.92</v>
      </c>
    </row>
    <row r="15" spans="1:12" ht="15.75" customHeight="1">
      <c r="A15" s="5" t="str">
        <f ca="1">IFERROR(__xludf.DUMMYFUNCTION("""COMPUTED_VALUE"""),"CE 4103; DM 4103:  Writing for the Church")</f>
        <v>CE 4103; DM 4103:  Writing for the Church</v>
      </c>
      <c r="B15" s="5" t="str">
        <f ca="1">IFERROR(__xludf.DUMMYFUNCTION("""COMPUTED_VALUE"""),"Wigger, B.")</f>
        <v>Wigger, B.</v>
      </c>
      <c r="C15" s="5" t="str">
        <f ca="1">IFERROR(__xludf.DUMMYFUNCTION("""COMPUTED_VALUE"""),"J-Term 2021")</f>
        <v>J-Term 2021</v>
      </c>
      <c r="D15" s="5" t="str">
        <f ca="1">IFERROR(__xludf.DUMMYFUNCTION("""COMPUTED_VALUE"""),"Option for additional required text")</f>
        <v>Option for additional required text</v>
      </c>
      <c r="E15" s="5" t="str">
        <f ca="1">IFERROR(__xludf.DUMMYFUNCTION("""COMPUTED_VALUE"""),"E. Ethelbert Miller")</f>
        <v>E. Ethelbert Miller</v>
      </c>
      <c r="F15" s="5" t="str">
        <f ca="1">IFERROR(__xludf.DUMMYFUNCTION("""COMPUTED_VALUE"""),"Fathering Words: The Making of an African American Writer")</f>
        <v>Fathering Words: The Making of an African American Writer</v>
      </c>
      <c r="G15" s="5" t="str">
        <f ca="1">IFERROR(__xludf.DUMMYFUNCTION("""COMPUTED_VALUE"""),"Black Classic Press")</f>
        <v>Black Classic Press</v>
      </c>
      <c r="H15" s="5">
        <f ca="1">IFERROR(__xludf.DUMMYFUNCTION("""COMPUTED_VALUE"""),2013)</f>
        <v>2013</v>
      </c>
      <c r="I15" s="5" t="str">
        <f ca="1">IFERROR(__xludf.DUMMYFUNCTION("""COMPUTED_VALUE"""),"Reprint edition")</f>
        <v>Reprint edition</v>
      </c>
      <c r="J15" s="5" t="str">
        <f ca="1">IFERROR(__xludf.DUMMYFUNCTION("""COMPUTED_VALUE"""),"978-1574780567")</f>
        <v>978-1574780567</v>
      </c>
      <c r="K15" s="5" t="str">
        <f ca="1">IFERROR(__xludf.DUMMYFUNCTION("""COMPUTED_VALUE"""),"$16.95 / $11.48")</f>
        <v>$16.95 / $11.48</v>
      </c>
    </row>
    <row r="16" spans="1:12" ht="15.75" customHeight="1">
      <c r="A16" s="5" t="str">
        <f ca="1">IFERROR(__xludf.DUMMYFUNCTION("""COMPUTED_VALUE"""),"CE 4103; DM 4103:  Writing for the Church")</f>
        <v>CE 4103; DM 4103:  Writing for the Church</v>
      </c>
      <c r="B16" s="5" t="str">
        <f ca="1">IFERROR(__xludf.DUMMYFUNCTION("""COMPUTED_VALUE"""),"Wigger, B.")</f>
        <v>Wigger, B.</v>
      </c>
      <c r="C16" s="5" t="str">
        <f ca="1">IFERROR(__xludf.DUMMYFUNCTION("""COMPUTED_VALUE"""),"J-Term 2021")</f>
        <v>J-Term 2021</v>
      </c>
      <c r="D16" s="5" t="str">
        <f ca="1">IFERROR(__xludf.DUMMYFUNCTION("""COMPUTED_VALUE"""),"Option for additional required text")</f>
        <v>Option for additional required text</v>
      </c>
      <c r="E16" s="5" t="str">
        <f ca="1">IFERROR(__xludf.DUMMYFUNCTION("""COMPUTED_VALUE"""),"Alice Walker and Rudolph P. Byrd")</f>
        <v>Alice Walker and Rudolph P. Byrd</v>
      </c>
      <c r="F16" s="5" t="str">
        <f ca="1">IFERROR(__xludf.DUMMYFUNCTION("""COMPUTED_VALUE"""),"The World Has Changed: Conversation with Alice Walker")</f>
        <v>The World Has Changed: Conversation with Alice Walker</v>
      </c>
      <c r="G16" s="5" t="str">
        <f ca="1">IFERROR(__xludf.DUMMYFUNCTION("""COMPUTED_VALUE"""),"The New Press")</f>
        <v>The New Press</v>
      </c>
      <c r="H16" s="5">
        <f ca="1">IFERROR(__xludf.DUMMYFUNCTION("""COMPUTED_VALUE"""),2010)</f>
        <v>2010</v>
      </c>
      <c r="I16" s="5" t="str">
        <f ca="1">IFERROR(__xludf.DUMMYFUNCTION("""COMPUTED_VALUE"""),"1st edition")</f>
        <v>1st edition</v>
      </c>
      <c r="J16" s="5" t="str">
        <f ca="1">IFERROR(__xludf.DUMMYFUNCTION("""COMPUTED_VALUE"""),"978-1595584960")</f>
        <v>978-1595584960</v>
      </c>
      <c r="K16" s="5" t="s">
        <v>1</v>
      </c>
    </row>
    <row r="17" spans="1:11" ht="15.75" customHeight="1">
      <c r="A17" s="5" t="str">
        <f ca="1">IFERROR(__xludf.DUMMYFUNCTION("""COMPUTED_VALUE"""),"CE 4103; DM 4103:  Writing for the Church")</f>
        <v>CE 4103; DM 4103:  Writing for the Church</v>
      </c>
      <c r="B17" s="5" t="str">
        <f ca="1">IFERROR(__xludf.DUMMYFUNCTION("""COMPUTED_VALUE"""),"Wigger, B.")</f>
        <v>Wigger, B.</v>
      </c>
      <c r="C17" s="5" t="str">
        <f ca="1">IFERROR(__xludf.DUMMYFUNCTION("""COMPUTED_VALUE"""),"J-Term 2021")</f>
        <v>J-Term 2021</v>
      </c>
      <c r="D17" s="5" t="str">
        <f ca="1">IFERROR(__xludf.DUMMYFUNCTION("""COMPUTED_VALUE"""),"Option for additional required text")</f>
        <v>Option for additional required text</v>
      </c>
      <c r="E17" s="5" t="str">
        <f ca="1">IFERROR(__xludf.DUMMYFUNCTION("""COMPUTED_VALUE"""),"Ann Whitford Paul")</f>
        <v>Ann Whitford Paul</v>
      </c>
      <c r="F17" s="5" t="str">
        <f ca="1">IFERROR(__xludf.DUMMYFUNCTION("""COMPUTED_VALUE"""),"Writing Picture Books: A Hands-on Guide from Story Creation to Publication")</f>
        <v>Writing Picture Books: A Hands-on Guide from Story Creation to Publication</v>
      </c>
      <c r="G17" s="5" t="str">
        <f ca="1">IFERROR(__xludf.DUMMYFUNCTION("""COMPUTED_VALUE"""),"Writer's Digest Books")</f>
        <v>Writer's Digest Books</v>
      </c>
      <c r="H17" s="5">
        <f ca="1">IFERROR(__xludf.DUMMYFUNCTION("""COMPUTED_VALUE"""),2009)</f>
        <v>2009</v>
      </c>
      <c r="I17" s="5" t="str">
        <f ca="1">IFERROR(__xludf.DUMMYFUNCTION("""COMPUTED_VALUE"""),"60091st edition")</f>
        <v>60091st edition</v>
      </c>
      <c r="J17" s="5" t="str">
        <f ca="1">IFERROR(__xludf.DUMMYFUNCTION("""COMPUTED_VALUE"""),"978-1582975566")</f>
        <v>978-1582975566</v>
      </c>
      <c r="K17" s="5" t="str">
        <f ca="1">IFERROR(__xludf.DUMMYFUNCTION("""COMPUTED_VALUE"""),"/ $17.99")</f>
        <v>/ $17.99</v>
      </c>
    </row>
    <row r="18" spans="1:11" ht="15.75" customHeight="1">
      <c r="A18" s="5"/>
      <c r="B18" s="5"/>
      <c r="C18" s="5"/>
      <c r="D18" s="5"/>
      <c r="E18" s="5"/>
      <c r="F18" s="5"/>
      <c r="G18" s="5"/>
      <c r="H18" s="5"/>
      <c r="I18" s="5"/>
      <c r="J18" s="5"/>
      <c r="K18" s="5"/>
    </row>
    <row r="19" spans="1:11" ht="15.75" customHeight="1">
      <c r="A19" s="5" t="str">
        <f ca="1">IFERROR(__xludf.DUMMYFUNCTION("""COMPUTED_VALUE"""),"CM 6463:  D. Min. Seminar III – The Minister as Theologian")</f>
        <v>CM 6463:  D. Min. Seminar III – The Minister as Theologian</v>
      </c>
      <c r="B19" s="5" t="str">
        <f ca="1">IFERROR(__xludf.DUMMYFUNCTION("""COMPUTED_VALUE"""),"Craigo-Snell, S. &amp; Gray, K.")</f>
        <v>Craigo-Snell, S. &amp; Gray, K.</v>
      </c>
      <c r="C19" s="5" t="str">
        <f ca="1">IFERROR(__xludf.DUMMYFUNCTION("""COMPUTED_VALUE"""),"J-Term 2021")</f>
        <v>J-Term 2021</v>
      </c>
      <c r="D19" s="5" t="str">
        <f ca="1">IFERROR(__xludf.DUMMYFUNCTION("""COMPUTED_VALUE"""),"Required")</f>
        <v>Required</v>
      </c>
      <c r="E19" s="5" t="str">
        <f ca="1">IFERROR(__xludf.DUMMYFUNCTION("""COMPUTED_VALUE"""),"Serene Jones")</f>
        <v>Serene Jones</v>
      </c>
      <c r="F19" s="5" t="str">
        <f ca="1">IFERROR(__xludf.DUMMYFUNCTION("""COMPUTED_VALUE"""),"Trauma and Grace: Theology in a Ruptured World")</f>
        <v>Trauma and Grace: Theology in a Ruptured World</v>
      </c>
      <c r="G19" s="5" t="str">
        <f ca="1">IFERROR(__xludf.DUMMYFUNCTION("""COMPUTED_VALUE"""),"Westminster John Knox Press")</f>
        <v>Westminster John Knox Press</v>
      </c>
      <c r="H19" s="5">
        <f ca="1">IFERROR(__xludf.DUMMYFUNCTION("""COMPUTED_VALUE"""),4019)</f>
        <v>4019</v>
      </c>
      <c r="I19" s="5" t="str">
        <f ca="1">IFERROR(__xludf.DUMMYFUNCTION("""COMPUTED_VALUE"""),"2nd sedition")</f>
        <v>2nd sedition</v>
      </c>
      <c r="J19" s="5" t="str">
        <f ca="1">IFERROR(__xludf.DUMMYFUNCTION("""COMPUTED_VALUE"""),"978-0664264772")</f>
        <v>978-0664264772</v>
      </c>
      <c r="K19" s="5" t="str">
        <f ca="1">IFERROR(__xludf.DUMMYFUNCTION("""COMPUTED_VALUE"""),"$27.00 / $20.49")</f>
        <v>$27.00 / $20.49</v>
      </c>
    </row>
    <row r="20" spans="1:11" ht="15.75" customHeight="1">
      <c r="A20" s="5" t="str">
        <f ca="1">IFERROR(__xludf.DUMMYFUNCTION("""COMPUTED_VALUE"""),"CM 6463:  D. Min. Seminar III – The Minister as Theologian")</f>
        <v>CM 6463:  D. Min. Seminar III – The Minister as Theologian</v>
      </c>
      <c r="B20" s="5" t="str">
        <f ca="1">IFERROR(__xludf.DUMMYFUNCTION("""COMPUTED_VALUE"""),"Craigo-Snell, S. &amp; Gray, K.")</f>
        <v>Craigo-Snell, S. &amp; Gray, K.</v>
      </c>
      <c r="C20" s="5" t="str">
        <f ca="1">IFERROR(__xludf.DUMMYFUNCTION("""COMPUTED_VALUE"""),"J-Term 2021")</f>
        <v>J-Term 2021</v>
      </c>
      <c r="D20" s="5" t="str">
        <f ca="1">IFERROR(__xludf.DUMMYFUNCTION("""COMPUTED_VALUE"""),"Required")</f>
        <v>Required</v>
      </c>
      <c r="E20" s="5" t="str">
        <f ca="1">IFERROR(__xludf.DUMMYFUNCTION("""COMPUTED_VALUE"""),"Resmaa Menakemm")</f>
        <v>Resmaa Menakemm</v>
      </c>
      <c r="F20" s="5" t="str">
        <f ca="1">IFERROR(__xludf.DUMMYFUNCTION("""COMPUTED_VALUE"""),"My Grandmother's Hands: Racialized Trauma and the Pathway to Mending Our Hearts and Bodies")</f>
        <v>My Grandmother's Hands: Racialized Trauma and the Pathway to Mending Our Hearts and Bodies</v>
      </c>
      <c r="G20" s="5" t="str">
        <f ca="1">IFERROR(__xludf.DUMMYFUNCTION("""COMPUTED_VALUE"""),"Central Recovery Press")</f>
        <v>Central Recovery Press</v>
      </c>
      <c r="H20" s="5">
        <f ca="1">IFERROR(__xludf.DUMMYFUNCTION("""COMPUTED_VALUE"""),2017)</f>
        <v>2017</v>
      </c>
      <c r="I20" s="5" t="str">
        <f ca="1">IFERROR(__xludf.DUMMYFUNCTION("""COMPUTED_VALUE"""),"Illustrated edition")</f>
        <v>Illustrated edition</v>
      </c>
      <c r="J20" s="5" t="str">
        <f ca="1">IFERROR(__xludf.DUMMYFUNCTION("""COMPUTED_VALUE"""),"978-1942094470")</f>
        <v>978-1942094470</v>
      </c>
      <c r="K20" s="5" t="str">
        <f ca="1">IFERROR(__xludf.DUMMYFUNCTION("""COMPUTED_VALUE"""),"$17.95 / $15.42")</f>
        <v>$17.95 / $15.42</v>
      </c>
    </row>
    <row r="21" spans="1:11" ht="15.75" customHeight="1">
      <c r="A21" s="5" t="str">
        <f ca="1">IFERROR(__xludf.DUMMYFUNCTION("""COMPUTED_VALUE"""),"CM 6463:  D. Min. Seminar III – The Minister as Theologian")</f>
        <v>CM 6463:  D. Min. Seminar III – The Minister as Theologian</v>
      </c>
      <c r="B21" s="5" t="str">
        <f ca="1">IFERROR(__xludf.DUMMYFUNCTION("""COMPUTED_VALUE"""),"Craigo-Snell, S. &amp; Gray, K.")</f>
        <v>Craigo-Snell, S. &amp; Gray, K.</v>
      </c>
      <c r="C21" s="5" t="str">
        <f ca="1">IFERROR(__xludf.DUMMYFUNCTION("""COMPUTED_VALUE"""),"J-Term 2021")</f>
        <v>J-Term 2021</v>
      </c>
      <c r="D21" s="5" t="str">
        <f ca="1">IFERROR(__xludf.DUMMYFUNCTION("""COMPUTED_VALUE"""),"Required")</f>
        <v>Required</v>
      </c>
      <c r="E21" s="5" t="str">
        <f ca="1">IFERROR(__xludf.DUMMYFUNCTION("""COMPUTED_VALUE"""),"Willie James Jennings")</f>
        <v>Willie James Jennings</v>
      </c>
      <c r="F21" s="5" t="str">
        <f ca="1">IFERROR(__xludf.DUMMYFUNCTION("""COMPUTED_VALUE"""),"The Christian Imagination: Theology and the Origins of Race")</f>
        <v>The Christian Imagination: Theology and the Origins of Race</v>
      </c>
      <c r="G21" s="5" t="str">
        <f ca="1">IFERROR(__xludf.DUMMYFUNCTION("""COMPUTED_VALUE"""),"Yale University Press")</f>
        <v>Yale University Press</v>
      </c>
      <c r="H21" s="5">
        <f ca="1">IFERROR(__xludf.DUMMYFUNCTION("""COMPUTED_VALUE"""),2011)</f>
        <v>2011</v>
      </c>
      <c r="I21" s="5" t="str">
        <f ca="1">IFERROR(__xludf.DUMMYFUNCTION("""COMPUTED_VALUE"""),"1st edition")</f>
        <v>1st edition</v>
      </c>
      <c r="J21" s="5" t="str">
        <f ca="1">IFERROR(__xludf.DUMMYFUNCTION("""COMPUTED_VALUE"""),"978-0300171365")</f>
        <v>978-0300171365</v>
      </c>
      <c r="K21" s="5" t="str">
        <f ca="1">IFERROR(__xludf.DUMMYFUNCTION("""COMPUTED_VALUE"""),"$27.50 / $24.94")</f>
        <v>$27.50 / $24.94</v>
      </c>
    </row>
    <row r="22" spans="1:11" ht="15.75" customHeight="1">
      <c r="A22" s="5" t="str">
        <f ca="1">IFERROR(__xludf.DUMMYFUNCTION("""COMPUTED_VALUE"""),"CM 6463:  D. Min. Seminar III – The Minister as Theologian")</f>
        <v>CM 6463:  D. Min. Seminar III – The Minister as Theologian</v>
      </c>
      <c r="B22" s="5" t="str">
        <f ca="1">IFERROR(__xludf.DUMMYFUNCTION("""COMPUTED_VALUE"""),"Craigo-Snell, S. &amp; Gray, K.")</f>
        <v>Craigo-Snell, S. &amp; Gray, K.</v>
      </c>
      <c r="C22" s="5" t="str">
        <f ca="1">IFERROR(__xludf.DUMMYFUNCTION("""COMPUTED_VALUE"""),"J-Term 2021")</f>
        <v>J-Term 2021</v>
      </c>
      <c r="D22" s="5" t="str">
        <f ca="1">IFERROR(__xludf.DUMMYFUNCTION("""COMPUTED_VALUE"""),"Required")</f>
        <v>Required</v>
      </c>
      <c r="E22" s="5" t="str">
        <f ca="1">IFERROR(__xludf.DUMMYFUNCTION("""COMPUTED_VALUE"""),"Kelly Brown Douglas")</f>
        <v>Kelly Brown Douglas</v>
      </c>
      <c r="F22" s="5" t="str">
        <f ca="1">IFERROR(__xludf.DUMMYFUNCTION("""COMPUTED_VALUE"""),"Stand Your Ground: Black Bodies and the Justice of God")</f>
        <v>Stand Your Ground: Black Bodies and the Justice of God</v>
      </c>
      <c r="G22" s="5" t="str">
        <f ca="1">IFERROR(__xludf.DUMMYFUNCTION("""COMPUTED_VALUE"""),"Orbis Books")</f>
        <v>Orbis Books</v>
      </c>
      <c r="H22" s="5">
        <f ca="1">IFERROR(__xludf.DUMMYFUNCTION("""COMPUTED_VALUE"""),2015)</f>
        <v>2015</v>
      </c>
      <c r="I22" s="5" t="str">
        <f ca="1">IFERROR(__xludf.DUMMYFUNCTION("""COMPUTED_VALUE"""),"1st edition")</f>
        <v>1st edition</v>
      </c>
      <c r="J22" s="5" t="str">
        <f ca="1">IFERROR(__xludf.DUMMYFUNCTION("""COMPUTED_VALUE"""),"978-1626981096")</f>
        <v>978-1626981096</v>
      </c>
      <c r="K22" s="5" t="str">
        <f ca="1">IFERROR(__xludf.DUMMYFUNCTION("""COMPUTED_VALUE"""),"$26.00 / $19.76")</f>
        <v>$26.00 / $19.76</v>
      </c>
    </row>
    <row r="23" spans="1:11" ht="15.75" customHeight="1">
      <c r="A23" s="5"/>
      <c r="B23" s="5"/>
      <c r="C23" s="5"/>
      <c r="D23" s="5"/>
      <c r="E23" s="5"/>
      <c r="F23" s="5"/>
      <c r="G23" s="5"/>
      <c r="H23" s="5"/>
      <c r="I23" s="5"/>
      <c r="J23" s="5"/>
      <c r="K23" s="5"/>
    </row>
    <row r="24" spans="1:11" ht="15.75" customHeight="1">
      <c r="A24" s="5" t="str">
        <f ca="1">IFERROR(__xludf.DUMMYFUNCTION("""COMPUTED_VALUE"""),"DM 6461:  D. Min. Seminar I – The Minister in Context")</f>
        <v>DM 6461:  D. Min. Seminar I – The Minister in Context</v>
      </c>
      <c r="B24" s="5" t="str">
        <f ca="1">IFERROR(__xludf.DUMMYFUNCTION("""COMPUTED_VALUE"""),"Cowser, Angela")</f>
        <v>Cowser, Angela</v>
      </c>
      <c r="C24" s="5" t="str">
        <f ca="1">IFERROR(__xludf.DUMMYFUNCTION("""COMPUTED_VALUE"""),"J-Term 2021")</f>
        <v>J-Term 2021</v>
      </c>
      <c r="D24" s="5" t="str">
        <f ca="1">IFERROR(__xludf.DUMMYFUNCTION("""COMPUTED_VALUE"""),"Required")</f>
        <v>Required</v>
      </c>
      <c r="E24" s="5" t="str">
        <f ca="1">IFERROR(__xludf.DUMMYFUNCTION("""COMPUTED_VALUE"""),"Maurianne Adams, et al")</f>
        <v>Maurianne Adams, et al</v>
      </c>
      <c r="F24" s="9" t="str">
        <f ca="1">IFERROR(__xludf.DUMMYFUNCTION("""COMPUTED_VALUE"""),"Readings for Diversity and Social Justice")</f>
        <v>Readings for Diversity and Social Justice</v>
      </c>
      <c r="G24" s="5" t="str">
        <f ca="1">IFERROR(__xludf.DUMMYFUNCTION("""COMPUTED_VALUE"""),"Routledge")</f>
        <v>Routledge</v>
      </c>
      <c r="H24" s="5">
        <f ca="1">IFERROR(__xludf.DUMMYFUNCTION("""COMPUTED_VALUE"""),2018)</f>
        <v>2018</v>
      </c>
      <c r="I24" s="5" t="str">
        <f ca="1">IFERROR(__xludf.DUMMYFUNCTION("""COMPUTED_VALUE"""),"4th edition")</f>
        <v>4th edition</v>
      </c>
      <c r="J24" s="5" t="str">
        <f ca="1">IFERROR(__xludf.DUMMYFUNCTION("""COMPUTED_VALUE"""),"978-1138055285")</f>
        <v>978-1138055285</v>
      </c>
      <c r="K24" s="5" t="str">
        <f ca="1">IFERROR(__xludf.DUMMYFUNCTION("""COMPUTED_VALUE"""),"$69.95 / $64.45")</f>
        <v>$69.95 / $64.45</v>
      </c>
    </row>
    <row r="25" spans="1:11" ht="14.25">
      <c r="A25" s="5" t="str">
        <f ca="1">IFERROR(__xludf.DUMMYFUNCTION("""COMPUTED_VALUE"""),"DM 6461:  D. Min. Seminar I – The Minister in Context")</f>
        <v>DM 6461:  D. Min. Seminar I – The Minister in Context</v>
      </c>
      <c r="B25" s="5" t="str">
        <f ca="1">IFERROR(__xludf.DUMMYFUNCTION("""COMPUTED_VALUE"""),"Cowser, Angela")</f>
        <v>Cowser, Angela</v>
      </c>
      <c r="C25" s="5" t="str">
        <f ca="1">IFERROR(__xludf.DUMMYFUNCTION("""COMPUTED_VALUE"""),"J-Term 2021")</f>
        <v>J-Term 2021</v>
      </c>
      <c r="D25" s="5" t="str">
        <f ca="1">IFERROR(__xludf.DUMMYFUNCTION("""COMPUTED_VALUE"""),"Required")</f>
        <v>Required</v>
      </c>
      <c r="E25" s="5" t="str">
        <f ca="1">IFERROR(__xludf.DUMMYFUNCTION("""COMPUTED_VALUE"""),"Allan G. Johnson")</f>
        <v>Allan G. Johnson</v>
      </c>
      <c r="F25" s="9" t="str">
        <f ca="1">IFERROR(__xludf.DUMMYFUNCTION("""COMPUTED_VALUE"""),"The Gender Knot: Unraveling our Patriarchal Legacy")</f>
        <v>The Gender Knot: Unraveling our Patriarchal Legacy</v>
      </c>
      <c r="G25" s="5" t="str">
        <f ca="1">IFERROR(__xludf.DUMMYFUNCTION("""COMPUTED_VALUE"""),"Temple University Press")</f>
        <v>Temple University Press</v>
      </c>
      <c r="H25" s="5">
        <f ca="1">IFERROR(__xludf.DUMMYFUNCTION("""COMPUTED_VALUE"""),2014)</f>
        <v>2014</v>
      </c>
      <c r="I25" s="5" t="str">
        <f ca="1">IFERROR(__xludf.DUMMYFUNCTION("""COMPUTED_VALUE"""),"3rd edition")</f>
        <v>3rd edition</v>
      </c>
      <c r="J25" s="5" t="str">
        <f ca="1">IFERROR(__xludf.DUMMYFUNCTION("""COMPUTED_VALUE"""),"978-1439911846")</f>
        <v>978-1439911846</v>
      </c>
      <c r="K25" s="5" t="str">
        <f ca="1">IFERROR(__xludf.DUMMYFUNCTION("""COMPUTED_VALUE"""),"$30.95 / $27.88")</f>
        <v>$30.95 / $27.88</v>
      </c>
    </row>
    <row r="26" spans="1:11" ht="14.25">
      <c r="A26" s="5" t="str">
        <f ca="1">IFERROR(__xludf.DUMMYFUNCTION("""COMPUTED_VALUE"""),"DM 6461:  D. Min. Seminar I – The Minister in Context")</f>
        <v>DM 6461:  D. Min. Seminar I – The Minister in Context</v>
      </c>
      <c r="B26" s="5" t="str">
        <f ca="1">IFERROR(__xludf.DUMMYFUNCTION("""COMPUTED_VALUE"""),"Cowser, Angela")</f>
        <v>Cowser, Angela</v>
      </c>
      <c r="C26" s="5" t="str">
        <f ca="1">IFERROR(__xludf.DUMMYFUNCTION("""COMPUTED_VALUE"""),"J-Term 2021")</f>
        <v>J-Term 2021</v>
      </c>
      <c r="D26" s="5" t="str">
        <f ca="1">IFERROR(__xludf.DUMMYFUNCTION("""COMPUTED_VALUE"""),"Required")</f>
        <v>Required</v>
      </c>
      <c r="E26" s="5" t="str">
        <f ca="1">IFERROR(__xludf.DUMMYFUNCTION("""COMPUTED_VALUE"""),"Nancy Jean Vyhmeister and Terry Dwain Robertson")</f>
        <v>Nancy Jean Vyhmeister and Terry Dwain Robertson</v>
      </c>
      <c r="F26" s="9" t="str">
        <f ca="1">IFERROR(__xludf.DUMMYFUNCTION("""COMPUTED_VALUE"""),"Your Guide to Writing Quality Research Papers: For Students of Religion and Theology")</f>
        <v>Your Guide to Writing Quality Research Papers: For Students of Religion and Theology</v>
      </c>
      <c r="G26" s="5" t="str">
        <f ca="1">IFERROR(__xludf.DUMMYFUNCTION("""COMPUTED_VALUE"""),"Zondervan")</f>
        <v>Zondervan</v>
      </c>
      <c r="H26" s="5">
        <f ca="1">IFERROR(__xludf.DUMMYFUNCTION("""COMPUTED_VALUE"""),2014)</f>
        <v>2014</v>
      </c>
      <c r="I26" s="5" t="str">
        <f ca="1">IFERROR(__xludf.DUMMYFUNCTION("""COMPUTED_VALUE"""),"3rd edition")</f>
        <v>3rd edition</v>
      </c>
      <c r="J26" s="5" t="str">
        <f ca="1">IFERROR(__xludf.DUMMYFUNCTION("""COMPUTED_VALUE"""),"978-0310514022")</f>
        <v>978-0310514022</v>
      </c>
      <c r="K26" s="5" t="str">
        <f ca="1">IFERROR(__xludf.DUMMYFUNCTION("""COMPUTED_VALUE"""),"/ $24.55")</f>
        <v>/ $24.55</v>
      </c>
    </row>
    <row r="27" spans="1:11" ht="14.25">
      <c r="A27" s="5" t="str">
        <f ca="1">IFERROR(__xludf.DUMMYFUNCTION("""COMPUTED_VALUE"""),"DM 6461:  D. Min. Seminar I – The Minister in Context")</f>
        <v>DM 6461:  D. Min. Seminar I – The Minister in Context</v>
      </c>
      <c r="B27" s="5" t="str">
        <f ca="1">IFERROR(__xludf.DUMMYFUNCTION("""COMPUTED_VALUE"""),"Cowser, Angela")</f>
        <v>Cowser, Angela</v>
      </c>
      <c r="C27" s="5" t="str">
        <f ca="1">IFERROR(__xludf.DUMMYFUNCTION("""COMPUTED_VALUE"""),"J-Term 2021")</f>
        <v>J-Term 2021</v>
      </c>
      <c r="D27" s="5" t="str">
        <f ca="1">IFERROR(__xludf.DUMMYFUNCTION("""COMPUTED_VALUE"""),"Required")</f>
        <v>Required</v>
      </c>
      <c r="E27" s="5" t="str">
        <f ca="1">IFERROR(__xludf.DUMMYFUNCTION("""COMPUTED_VALUE"""),"Joseph Barndt")</f>
        <v>Joseph Barndt</v>
      </c>
      <c r="F27" s="9" t="str">
        <f ca="1">IFERROR(__xludf.DUMMYFUNCTION("""COMPUTED_VALUE"""),"Understanding and Dismantling Racism: The Twenty-First Century Challenge to White America")</f>
        <v>Understanding and Dismantling Racism: The Twenty-First Century Challenge to White America</v>
      </c>
      <c r="G27" s="5" t="str">
        <f ca="1">IFERROR(__xludf.DUMMYFUNCTION("""COMPUTED_VALUE"""),"Fortress Press")</f>
        <v>Fortress Press</v>
      </c>
      <c r="H27" s="5">
        <f ca="1">IFERROR(__xludf.DUMMYFUNCTION("""COMPUTED_VALUE"""),2007)</f>
        <v>2007</v>
      </c>
      <c r="I27" s="5" t="str">
        <f ca="1">IFERROR(__xludf.DUMMYFUNCTION("""COMPUTED_VALUE"""),"NA")</f>
        <v>NA</v>
      </c>
      <c r="J27" s="5" t="str">
        <f ca="1">IFERROR(__xludf.DUMMYFUNCTION("""COMPUTED_VALUE"""),"978-0800662226")</f>
        <v>978-0800662226</v>
      </c>
      <c r="K27" s="5" t="str">
        <f ca="1">IFERROR(__xludf.DUMMYFUNCTION("""COMPUTED_VALUE"""),"$22.00 / $18.09")</f>
        <v>$22.00 / $18.09</v>
      </c>
    </row>
    <row r="28" spans="1:11" ht="14.25">
      <c r="A28" s="5" t="str">
        <f ca="1">IFERROR(__xludf.DUMMYFUNCTION("""COMPUTED_VALUE"""),"DM 6461:  D. Min. Seminar I – The Minister in Context")</f>
        <v>DM 6461:  D. Min. Seminar I – The Minister in Context</v>
      </c>
      <c r="B28" s="5" t="str">
        <f ca="1">IFERROR(__xludf.DUMMYFUNCTION("""COMPUTED_VALUE"""),"Cowser, Angela")</f>
        <v>Cowser, Angela</v>
      </c>
      <c r="C28" s="5" t="str">
        <f ca="1">IFERROR(__xludf.DUMMYFUNCTION("""COMPUTED_VALUE"""),"J-Term 2021")</f>
        <v>J-Term 2021</v>
      </c>
      <c r="D28" s="5" t="str">
        <f ca="1">IFERROR(__xludf.DUMMYFUNCTION("""COMPUTED_VALUE"""),"Required")</f>
        <v>Required</v>
      </c>
      <c r="E28" s="5" t="str">
        <f ca="1">IFERROR(__xludf.DUMMYFUNCTION("""COMPUTED_VALUE"""),"John W. Creswell and J. David Creswell")</f>
        <v>John W. Creswell and J. David Creswell</v>
      </c>
      <c r="F28" s="9" t="str">
        <f ca="1">IFERROR(__xludf.DUMMYFUNCTION("""COMPUTED_VALUE"""),"Research Design: Qualitative, Quantitative, and Mixed Methods Approaches")</f>
        <v>Research Design: Qualitative, Quantitative, and Mixed Methods Approaches</v>
      </c>
      <c r="G28" s="5" t="str">
        <f ca="1">IFERROR(__xludf.DUMMYFUNCTION("""COMPUTED_VALUE"""),"SAGE Publishers")</f>
        <v>SAGE Publishers</v>
      </c>
      <c r="H28" s="5">
        <f ca="1">IFERROR(__xludf.DUMMYFUNCTION("""COMPUTED_VALUE"""),2018)</f>
        <v>2018</v>
      </c>
      <c r="I28" s="5" t="str">
        <f ca="1">IFERROR(__xludf.DUMMYFUNCTION("""COMPUTED_VALUE"""),"5th edition")</f>
        <v>5th edition</v>
      </c>
      <c r="J28" s="5" t="str">
        <f ca="1">IFERROR(__xludf.DUMMYFUNCTION("""COMPUTED_VALUE"""),"978-1506386706")</f>
        <v>978-1506386706</v>
      </c>
      <c r="K28" s="5" t="str">
        <f ca="1">IFERROR(__xludf.DUMMYFUNCTION("""COMPUTED_VALUE"""),"$60.00 / $26.26")</f>
        <v>$60.00 / $26.26</v>
      </c>
    </row>
    <row r="29" spans="1:11" ht="14.25">
      <c r="A29" s="5"/>
      <c r="B29" s="5"/>
      <c r="C29" s="5"/>
      <c r="D29" s="5"/>
      <c r="E29" s="5"/>
      <c r="F29" s="5"/>
      <c r="G29" s="5"/>
      <c r="H29" s="5"/>
      <c r="I29" s="5"/>
      <c r="J29" s="5"/>
      <c r="K29" s="5"/>
    </row>
    <row r="30" spans="1:11" ht="14.25">
      <c r="A30" s="5" t="str">
        <f ca="1">IFERROR(__xludf.DUMMYFUNCTION("""COMPUTED_VALUE"""),"EM 3173:  Paradigms for Christian Mission")</f>
        <v>EM 3173:  Paradigms for Christian Mission</v>
      </c>
      <c r="B30" s="5" t="str">
        <f ca="1">IFERROR(__xludf.DUMMYFUNCTION("""COMPUTED_VALUE"""),"Kirkpatrick, C.")</f>
        <v>Kirkpatrick, C.</v>
      </c>
      <c r="C30" s="5" t="str">
        <f ca="1">IFERROR(__xludf.DUMMYFUNCTION("""COMPUTED_VALUE"""),"J-Term 2021")</f>
        <v>J-Term 2021</v>
      </c>
      <c r="D30" s="5" t="str">
        <f ca="1">IFERROR(__xludf.DUMMYFUNCTION("""COMPUTED_VALUE"""),"Required")</f>
        <v>Required</v>
      </c>
      <c r="E30" s="5" t="str">
        <f ca="1">IFERROR(__xludf.DUMMYFUNCTION("""COMPUTED_VALUE"""),"Stan Nussbaum")</f>
        <v>Stan Nussbaum</v>
      </c>
      <c r="F30" s="5" t="str">
        <f ca="1">IFERROR(__xludf.DUMMYFUNCTION("""COMPUTED_VALUE"""),"A Reader's Guide to Transforming Mission")</f>
        <v>A Reader's Guide to Transforming Mission</v>
      </c>
      <c r="G30" s="5" t="str">
        <f ca="1">IFERROR(__xludf.DUMMYFUNCTION("""COMPUTED_VALUE"""),"Orbis Books")</f>
        <v>Orbis Books</v>
      </c>
      <c r="H30" s="5">
        <f ca="1">IFERROR(__xludf.DUMMYFUNCTION("""COMPUTED_VALUE"""),2005)</f>
        <v>2005</v>
      </c>
      <c r="I30" s="5" t="str">
        <f ca="1">IFERROR(__xludf.DUMMYFUNCTION("""COMPUTED_VALUE"""),"1st edition")</f>
        <v>1st edition</v>
      </c>
      <c r="J30" s="5" t="str">
        <f ca="1">IFERROR(__xludf.DUMMYFUNCTION("""COMPUTED_VALUE"""),"978-1570755941")</f>
        <v>978-1570755941</v>
      </c>
      <c r="K30" s="5" t="str">
        <f ca="1">IFERROR(__xludf.DUMMYFUNCTION("""COMPUTED_VALUE"""),"/ $22.00")</f>
        <v>/ $22.00</v>
      </c>
    </row>
    <row r="31" spans="1:11" ht="14.25">
      <c r="A31" s="5" t="str">
        <f ca="1">IFERROR(__xludf.DUMMYFUNCTION("""COMPUTED_VALUE"""),"EM 3173:  Paradigms for Christian Mission")</f>
        <v>EM 3173:  Paradigms for Christian Mission</v>
      </c>
      <c r="B31" s="5" t="str">
        <f ca="1">IFERROR(__xludf.DUMMYFUNCTION("""COMPUTED_VALUE"""),"Kirkpatrick, C.")</f>
        <v>Kirkpatrick, C.</v>
      </c>
      <c r="C31" s="5" t="str">
        <f ca="1">IFERROR(__xludf.DUMMYFUNCTION("""COMPUTED_VALUE"""),"J-Term 2021")</f>
        <v>J-Term 2021</v>
      </c>
      <c r="D31" s="5" t="str">
        <f ca="1">IFERROR(__xludf.DUMMYFUNCTION("""COMPUTED_VALUE"""),"Recommended")</f>
        <v>Recommended</v>
      </c>
      <c r="E31" s="5" t="str">
        <f ca="1">IFERROR(__xludf.DUMMYFUNCTION("""COMPUTED_VALUE"""),"Stephen B. Bevans and Roger P.. Schroeder")</f>
        <v>Stephen B. Bevans and Roger P.. Schroeder</v>
      </c>
      <c r="F31" s="5" t="str">
        <f ca="1">IFERROR(__xludf.DUMMYFUNCTION("""COMPUTED_VALUE"""),"Constants in Context: A Theology of Mission for Today")</f>
        <v>Constants in Context: A Theology of Mission for Today</v>
      </c>
      <c r="G31" s="5" t="str">
        <f ca="1">IFERROR(__xludf.DUMMYFUNCTION("""COMPUTED_VALUE"""),"Orbis Books")</f>
        <v>Orbis Books</v>
      </c>
      <c r="H31" s="5">
        <f ca="1">IFERROR(__xludf.DUMMYFUNCTION("""COMPUTED_VALUE"""),2004)</f>
        <v>2004</v>
      </c>
      <c r="I31" s="5" t="str">
        <f ca="1">IFERROR(__xludf.DUMMYFUNCTION("""COMPUTED_VALUE"""),"Illlustrated")</f>
        <v>Illlustrated</v>
      </c>
      <c r="J31" s="5" t="str">
        <f ca="1">IFERROR(__xludf.DUMMYFUNCTION("""COMPUTED_VALUE"""),"978-1570755170")</f>
        <v>978-1570755170</v>
      </c>
      <c r="K31" s="5" t="str">
        <f ca="1">IFERROR(__xludf.DUMMYFUNCTION("""COMPUTED_VALUE"""),"$36.00 / $33.00")</f>
        <v>$36.00 / $33.00</v>
      </c>
    </row>
    <row r="32" spans="1:11" ht="14.25">
      <c r="A32" s="5" t="str">
        <f ca="1">IFERROR(__xludf.DUMMYFUNCTION("""COMPUTED_VALUE"""),"EM 3173:  Paradigms for Christian Mission")</f>
        <v>EM 3173:  Paradigms for Christian Mission</v>
      </c>
      <c r="B32" s="5" t="str">
        <f ca="1">IFERROR(__xludf.DUMMYFUNCTION("""COMPUTED_VALUE"""),"Kirkpatrick, C.")</f>
        <v>Kirkpatrick, C.</v>
      </c>
      <c r="C32" s="5" t="str">
        <f ca="1">IFERROR(__xludf.DUMMYFUNCTION("""COMPUTED_VALUE"""),"J-Term 2021")</f>
        <v>J-Term 2021</v>
      </c>
      <c r="D32" s="5" t="str">
        <f ca="1">IFERROR(__xludf.DUMMYFUNCTION("""COMPUTED_VALUE"""),"Recommended")</f>
        <v>Recommended</v>
      </c>
      <c r="E32" s="5" t="str">
        <f ca="1">IFERROR(__xludf.DUMMYFUNCTION("""COMPUTED_VALUE"""),"David J. Bosch")</f>
        <v>David J. Bosch</v>
      </c>
      <c r="F32" s="5" t="str">
        <f ca="1">IFERROR(__xludf.DUMMYFUNCTION("""COMPUTED_VALUE"""),"Transforming Mission: Paradigm Shifts in Theology of Mission")</f>
        <v>Transforming Mission: Paradigm Shifts in Theology of Mission</v>
      </c>
      <c r="G32" s="5" t="str">
        <f ca="1">IFERROR(__xludf.DUMMYFUNCTION("""COMPUTED_VALUE"""),"Orbis Books")</f>
        <v>Orbis Books</v>
      </c>
      <c r="H32" s="5">
        <f ca="1">IFERROR(__xludf.DUMMYFUNCTION("""COMPUTED_VALUE"""),2011)</f>
        <v>2011</v>
      </c>
      <c r="I32" s="5" t="str">
        <f ca="1">IFERROR(__xludf.DUMMYFUNCTION("""COMPUTED_VALUE"""),"20th Anniversary Edition")</f>
        <v>20th Anniversary Edition</v>
      </c>
      <c r="J32" s="5" t="str">
        <f ca="1">IFERROR(__xludf.DUMMYFUNCTION("""COMPUTED_VALUE"""),"978-1570759482")</f>
        <v>978-1570759482</v>
      </c>
      <c r="K32" s="5" t="str">
        <f ca="1">IFERROR(__xludf.DUMMYFUNCTION("""COMPUTED_VALUE"""),"$37.00 / $25.99")</f>
        <v>$37.00 / $25.99</v>
      </c>
    </row>
    <row r="33" spans="1:12" ht="14.25">
      <c r="A33" s="5" t="str">
        <f ca="1">IFERROR(__xludf.DUMMYFUNCTION("""COMPUTED_VALUE"""),"EM 3173:  Paradigms for Christian Mission")</f>
        <v>EM 3173:  Paradigms for Christian Mission</v>
      </c>
      <c r="B33" s="5" t="str">
        <f ca="1">IFERROR(__xludf.DUMMYFUNCTION("""COMPUTED_VALUE"""),"Kirkpatrick, C.")</f>
        <v>Kirkpatrick, C.</v>
      </c>
      <c r="C33" s="5" t="str">
        <f ca="1">IFERROR(__xludf.DUMMYFUNCTION("""COMPUTED_VALUE"""),"J-Term 2021")</f>
        <v>J-Term 2021</v>
      </c>
      <c r="D33" s="5" t="str">
        <f ca="1">IFERROR(__xludf.DUMMYFUNCTION("""COMPUTED_VALUE"""),"Recommended")</f>
        <v>Recommended</v>
      </c>
      <c r="E33" s="5" t="str">
        <f ca="1">IFERROR(__xludf.DUMMYFUNCTION("""COMPUTED_VALUE"""),"Sherron Kay George")</f>
        <v>Sherron Kay George</v>
      </c>
      <c r="F33" s="5" t="str">
        <f ca="1">IFERROR(__xludf.DUMMYFUNCTION("""COMPUTED_VALUE"""),"Better Together: The Future of Presbyterian Mission")</f>
        <v>Better Together: The Future of Presbyterian Mission</v>
      </c>
      <c r="G33" s="5" t="str">
        <f ca="1">IFERROR(__xludf.DUMMYFUNCTION("""COMPUTED_VALUE"""),"Geneva Press")</f>
        <v>Geneva Press</v>
      </c>
      <c r="H33" s="5">
        <f ca="1">IFERROR(__xludf.DUMMYFUNCTION("""COMPUTED_VALUE"""),2011)</f>
        <v>2011</v>
      </c>
      <c r="I33" s="5" t="str">
        <f ca="1">IFERROR(__xludf.DUMMYFUNCTION("""COMPUTED_VALUE"""),"Illustrated edition")</f>
        <v>Illustrated edition</v>
      </c>
      <c r="J33" s="5" t="str">
        <f ca="1">IFERROR(__xludf.DUMMYFUNCTION("""COMPUTED_VALUE""")," 978-0664503062")</f>
        <v xml:space="preserve"> 978-0664503062</v>
      </c>
      <c r="K33" s="5" t="str">
        <f ca="1">IFERROR(__xludf.DUMMYFUNCTION("""COMPUTED_VALUE"""),"/ $18.00")</f>
        <v>/ $18.00</v>
      </c>
    </row>
    <row r="34" spans="1:12" ht="14.25">
      <c r="A34" s="5" t="str">
        <f ca="1">IFERROR(__xludf.DUMMYFUNCTION("""COMPUTED_VALUE"""),"EM 3173:  Paradigms for Christian Mission")</f>
        <v>EM 3173:  Paradigms for Christian Mission</v>
      </c>
      <c r="B34" s="5" t="str">
        <f ca="1">IFERROR(__xludf.DUMMYFUNCTION("""COMPUTED_VALUE"""),"Kirkpatrick, C.")</f>
        <v>Kirkpatrick, C.</v>
      </c>
      <c r="C34" s="5" t="str">
        <f ca="1">IFERROR(__xludf.DUMMYFUNCTION("""COMPUTED_VALUE"""),"J-Term 2021")</f>
        <v>J-Term 2021</v>
      </c>
      <c r="D34" s="5" t="str">
        <f ca="1">IFERROR(__xludf.DUMMYFUNCTION("""COMPUTED_VALUE"""),"Recommended")</f>
        <v>Recommended</v>
      </c>
      <c r="E34" s="5" t="str">
        <f ca="1">IFERROR(__xludf.DUMMYFUNCTION("""COMPUTED_VALUE"""),"Wesley Granberg-Michaelson")</f>
        <v>Wesley Granberg-Michaelson</v>
      </c>
      <c r="F34" s="5" t="str">
        <f ca="1">IFERROR(__xludf.DUMMYFUNCTION("""COMPUTED_VALUE"""),"From Times Square to Timbuktu The Post-Christian West Meets the Non-Western Church")</f>
        <v>From Times Square to Timbuktu The Post-Christian West Meets the Non-Western Church</v>
      </c>
      <c r="G34" s="5" t="str">
        <f ca="1">IFERROR(__xludf.DUMMYFUNCTION("""COMPUTED_VALUE"""),"Eerdmans")</f>
        <v>Eerdmans</v>
      </c>
      <c r="H34" s="5">
        <f ca="1">IFERROR(__xludf.DUMMYFUNCTION("""COMPUTED_VALUE"""),2013)</f>
        <v>2013</v>
      </c>
      <c r="I34" s="5" t="str">
        <f ca="1">IFERROR(__xludf.DUMMYFUNCTION("""COMPUTED_VALUE"""),"1st edition")</f>
        <v>1st edition</v>
      </c>
      <c r="J34" s="5" t="str">
        <f ca="1">IFERROR(__xludf.DUMMYFUNCTION("""COMPUTED_VALUE"""),"978-0802869685")</f>
        <v>978-0802869685</v>
      </c>
      <c r="K34" s="5" t="str">
        <f ca="1">IFERROR(__xludf.DUMMYFUNCTION("""COMPUTED_VALUE"""),"$20.00 / $7.59")</f>
        <v>$20.00 / $7.59</v>
      </c>
    </row>
    <row r="35" spans="1:12" ht="14.25">
      <c r="A35" s="5" t="str">
        <f ca="1">IFERROR(__xludf.DUMMYFUNCTION("""COMPUTED_VALUE"""),"EM 3173:  Paradigms for Christian Mission")</f>
        <v>EM 3173:  Paradigms for Christian Mission</v>
      </c>
      <c r="B35" s="5" t="str">
        <f ca="1">IFERROR(__xludf.DUMMYFUNCTION("""COMPUTED_VALUE"""),"Kirkpatrick, C.")</f>
        <v>Kirkpatrick, C.</v>
      </c>
      <c r="C35" s="5" t="str">
        <f ca="1">IFERROR(__xludf.DUMMYFUNCTION("""COMPUTED_VALUE"""),"J-Term 2021")</f>
        <v>J-Term 2021</v>
      </c>
      <c r="D35" s="5" t="str">
        <f ca="1">IFERROR(__xludf.DUMMYFUNCTION("""COMPUTED_VALUE"""),"Recommended")</f>
        <v>Recommended</v>
      </c>
      <c r="E35" s="5" t="str">
        <f ca="1">IFERROR(__xludf.DUMMYFUNCTION("""COMPUTED_VALUE"""),"Elizabeth Hinson-Hasty and Rebecca Todd Peters")</f>
        <v>Elizabeth Hinson-Hasty and Rebecca Todd Peters</v>
      </c>
      <c r="F35" s="5" t="str">
        <f ca="1">IFERROR(__xludf.DUMMYFUNCTION("""COMPUTED_VALUE"""),"To Do Justice: A Guide for Progressive Christians")</f>
        <v>To Do Justice: A Guide for Progressive Christians</v>
      </c>
      <c r="G35" s="5" t="str">
        <f ca="1">IFERROR(__xludf.DUMMYFUNCTION("""COMPUTED_VALUE"""),"Westminster John Knox Press")</f>
        <v>Westminster John Knox Press</v>
      </c>
      <c r="H35" s="5">
        <f ca="1">IFERROR(__xludf.DUMMYFUNCTION("""COMPUTED_VALUE"""),2008)</f>
        <v>2008</v>
      </c>
      <c r="I35" s="5" t="str">
        <f ca="1">IFERROR(__xludf.DUMMYFUNCTION("""COMPUTED_VALUE"""),"First edition")</f>
        <v>First edition</v>
      </c>
      <c r="J35" s="5" t="str">
        <f ca="1">IFERROR(__xludf.DUMMYFUNCTION("""COMPUTED_VALUE"""),"978-0664232825")</f>
        <v>978-0664232825</v>
      </c>
      <c r="K35" s="5" t="str">
        <f ca="1">IFERROR(__xludf.DUMMYFUNCTION("""COMPUTED_VALUE"""),"/ $20.00")</f>
        <v>/ $20.00</v>
      </c>
    </row>
    <row r="36" spans="1:12" ht="14.25">
      <c r="A36" s="5" t="str">
        <f ca="1">IFERROR(__xludf.DUMMYFUNCTION("""COMPUTED_VALUE"""),"EM 3173:  Paradigms for Christian Mission")</f>
        <v>EM 3173:  Paradigms for Christian Mission</v>
      </c>
      <c r="B36" s="5" t="str">
        <f ca="1">IFERROR(__xludf.DUMMYFUNCTION("""COMPUTED_VALUE"""),"Kirkpatrick, C.")</f>
        <v>Kirkpatrick, C.</v>
      </c>
      <c r="C36" s="5" t="str">
        <f ca="1">IFERROR(__xludf.DUMMYFUNCTION("""COMPUTED_VALUE"""),"J-Term 2021")</f>
        <v>J-Term 2021</v>
      </c>
      <c r="D36" s="5" t="str">
        <f ca="1">IFERROR(__xludf.DUMMYFUNCTION("""COMPUTED_VALUE"""),"Recommended")</f>
        <v>Recommended</v>
      </c>
      <c r="E36" s="5" t="str">
        <f ca="1">IFERROR(__xludf.DUMMYFUNCTION("""COMPUTED_VALUE"""),"Douglas Jacobsen")</f>
        <v>Douglas Jacobsen</v>
      </c>
      <c r="F36" s="5" t="str">
        <f ca="1">IFERROR(__xludf.DUMMYFUNCTION("""COMPUTED_VALUE"""),"The World's Christians: Who they are, where they are, and how they got there")</f>
        <v>The World's Christians: Who they are, where they are, and how they got there</v>
      </c>
      <c r="G36" s="5" t="str">
        <f ca="1">IFERROR(__xludf.DUMMYFUNCTION("""COMPUTED_VALUE"""),"Wiley Blackwell")</f>
        <v>Wiley Blackwell</v>
      </c>
      <c r="H36" s="5">
        <f ca="1">IFERROR(__xludf.DUMMYFUNCTION("""COMPUTED_VALUE"""),2011)</f>
        <v>2011</v>
      </c>
      <c r="I36" s="5" t="str">
        <f ca="1">IFERROR(__xludf.DUMMYFUNCTION("""COMPUTED_VALUE"""),"1st edition")</f>
        <v>1st edition</v>
      </c>
      <c r="J36" s="5" t="str">
        <f ca="1">IFERROR(__xludf.DUMMYFUNCTION("""COMPUTED_VALUE"""),"978-1405188876")</f>
        <v>978-1405188876</v>
      </c>
      <c r="K36" s="5" t="str">
        <f ca="1">IFERROR(__xludf.DUMMYFUNCTION("""COMPUTED_VALUE"""),"$47.75 / $16.87")</f>
        <v>$47.75 / $16.87</v>
      </c>
    </row>
    <row r="37" spans="1:12" ht="14.25">
      <c r="A37" s="5" t="str">
        <f ca="1">IFERROR(__xludf.DUMMYFUNCTION("""COMPUTED_VALUE"""),"EM 3173:  Paradigms for Christian Mission")</f>
        <v>EM 3173:  Paradigms for Christian Mission</v>
      </c>
      <c r="B37" s="5" t="str">
        <f ca="1">IFERROR(__xludf.DUMMYFUNCTION("""COMPUTED_VALUE"""),"Kirkpatrick, C.")</f>
        <v>Kirkpatrick, C.</v>
      </c>
      <c r="C37" s="5" t="str">
        <f ca="1">IFERROR(__xludf.DUMMYFUNCTION("""COMPUTED_VALUE"""),"J-Term 2021")</f>
        <v>J-Term 2021</v>
      </c>
      <c r="D37" s="5" t="str">
        <f ca="1">IFERROR(__xludf.DUMMYFUNCTION("""COMPUTED_VALUE"""),"Recommended")</f>
        <v>Recommended</v>
      </c>
      <c r="E37" s="5" t="str">
        <f ca="1">IFERROR(__xludf.DUMMYFUNCTION("""COMPUTED_VALUE"""),"Eboo Patel")</f>
        <v>Eboo Patel</v>
      </c>
      <c r="F37" s="5" t="str">
        <f ca="1">IFERROR(__xludf.DUMMYFUNCTION("""COMPUTED_VALUE"""),"Acts of Faith: The Story of an American Muslim, the Struggle for the Soul of a Generation")</f>
        <v>Acts of Faith: The Story of an American Muslim, the Struggle for the Soul of a Generation</v>
      </c>
      <c r="G37" s="5" t="str">
        <f ca="1">IFERROR(__xludf.DUMMYFUNCTION("""COMPUTED_VALUE"""),"Beacon Press")</f>
        <v>Beacon Press</v>
      </c>
      <c r="H37" s="5">
        <f ca="1">IFERROR(__xludf.DUMMYFUNCTION("""COMPUTED_VALUE"""),2010)</f>
        <v>2010</v>
      </c>
      <c r="I37" s="5" t="str">
        <f ca="1">IFERROR(__xludf.DUMMYFUNCTION("""COMPUTED_VALUE"""),"44370th edition")</f>
        <v>44370th edition</v>
      </c>
      <c r="J37" s="5" t="str">
        <f ca="1">IFERROR(__xludf.DUMMYFUNCTION("""COMPUTED_VALUE"""),"978-0807006221")</f>
        <v>978-0807006221</v>
      </c>
      <c r="K37" s="5" t="str">
        <f ca="1">IFERROR(__xludf.DUMMYFUNCTION("""COMPUTED_VALUE"""),"$16.00 / $11.28")</f>
        <v>$16.00 / $11.28</v>
      </c>
    </row>
    <row r="38" spans="1:12" ht="14.25">
      <c r="A38" s="5" t="str">
        <f ca="1">IFERROR(__xludf.DUMMYFUNCTION("""COMPUTED_VALUE"""),"EM 3173:  Paradigms for Christian Mission")</f>
        <v>EM 3173:  Paradigms for Christian Mission</v>
      </c>
      <c r="B38" s="5" t="str">
        <f ca="1">IFERROR(__xludf.DUMMYFUNCTION("""COMPUTED_VALUE"""),"Kirkpatrick, C.")</f>
        <v>Kirkpatrick, C.</v>
      </c>
      <c r="C38" s="5" t="str">
        <f ca="1">IFERROR(__xludf.DUMMYFUNCTION("""COMPUTED_VALUE"""),"J-Term 2021")</f>
        <v>J-Term 2021</v>
      </c>
      <c r="D38" s="5" t="str">
        <f ca="1">IFERROR(__xludf.DUMMYFUNCTION("""COMPUTED_VALUE"""),"Recommended")</f>
        <v>Recommended</v>
      </c>
      <c r="E38" s="5" t="str">
        <f ca="1">IFERROR(__xludf.DUMMYFUNCTION("""COMPUTED_VALUE"""),"Soong-Chan Rah")</f>
        <v>Soong-Chan Rah</v>
      </c>
      <c r="F38" s="5" t="str">
        <f ca="1">IFERROR(__xludf.DUMMYFUNCTION("""COMPUTED_VALUE"""),"The Next Evangelicalism: Freeing the Church from Western Cultural Captivity")</f>
        <v>The Next Evangelicalism: Freeing the Church from Western Cultural Captivity</v>
      </c>
      <c r="G38" s="5" t="str">
        <f ca="1">IFERROR(__xludf.DUMMYFUNCTION("""COMPUTED_VALUE"""),"IVP Books")</f>
        <v>IVP Books</v>
      </c>
      <c r="H38" s="5">
        <f ca="1">IFERROR(__xludf.DUMMYFUNCTION("""COMPUTED_VALUE"""),2009)</f>
        <v>2009</v>
      </c>
      <c r="I38" s="5" t="str">
        <f ca="1">IFERROR(__xludf.DUMMYFUNCTION("""COMPUTED_VALUE"""),"1st edition")</f>
        <v>1st edition</v>
      </c>
      <c r="J38" s="5" t="str">
        <f ca="1">IFERROR(__xludf.DUMMYFUNCTION("""COMPUTED_VALUE"""),"978-0830833603")</f>
        <v>978-0830833603</v>
      </c>
      <c r="K38" s="5" t="str">
        <f ca="1">IFERROR(__xludf.DUMMYFUNCTION("""COMPUTED_VALUE"""),"$20.00 / $13.99")</f>
        <v>$20.00 / $13.99</v>
      </c>
    </row>
    <row r="39" spans="1:12" ht="14.25">
      <c r="A39" s="5" t="str">
        <f ca="1">IFERROR(__xludf.DUMMYFUNCTION("""COMPUTED_VALUE"""),"EM 3173:  Paradigms for Christian Mission")</f>
        <v>EM 3173:  Paradigms for Christian Mission</v>
      </c>
      <c r="B39" s="5" t="str">
        <f ca="1">IFERROR(__xludf.DUMMYFUNCTION("""COMPUTED_VALUE"""),"Kirkpatrick, C.")</f>
        <v>Kirkpatrick, C.</v>
      </c>
      <c r="C39" s="5" t="str">
        <f ca="1">IFERROR(__xludf.DUMMYFUNCTION("""COMPUTED_VALUE"""),"J-Term 2021")</f>
        <v>J-Term 2021</v>
      </c>
      <c r="D39" s="5" t="str">
        <f ca="1">IFERROR(__xludf.DUMMYFUNCTION("""COMPUTED_VALUE"""),"Recommended")</f>
        <v>Recommended</v>
      </c>
      <c r="E39" s="5" t="str">
        <f ca="1">IFERROR(__xludf.DUMMYFUNCTION("""COMPUTED_VALUE"""),"Martha Grace Reece")</f>
        <v>Martha Grace Reece</v>
      </c>
      <c r="F39" s="5" t="str">
        <f ca="1">IFERROR(__xludf.DUMMYFUNCTION("""COMPUTED_VALUE"""),"Unbinding the Gospel: Real Life Evangelism")</f>
        <v>Unbinding the Gospel: Real Life Evangelism</v>
      </c>
      <c r="G39" s="5" t="str">
        <f ca="1">IFERROR(__xludf.DUMMYFUNCTION("""COMPUTED_VALUE"""),"Chalice Press")</f>
        <v>Chalice Press</v>
      </c>
      <c r="H39" s="5">
        <f ca="1">IFERROR(__xludf.DUMMYFUNCTION("""COMPUTED_VALUE"""),2018)</f>
        <v>2018</v>
      </c>
      <c r="I39" s="5" t="str">
        <f ca="1">IFERROR(__xludf.DUMMYFUNCTION("""COMPUTED_VALUE"""),"2nd edition")</f>
        <v>2nd edition</v>
      </c>
      <c r="J39" s="5" t="str">
        <f ca="1">IFERROR(__xludf.DUMMYFUNCTION("""COMPUTED_VALUE"""),"78-0827238084")</f>
        <v>78-0827238084</v>
      </c>
      <c r="K39" s="5" t="str">
        <f ca="1">IFERROR(__xludf.DUMMYFUNCTION("""COMPUTED_VALUE"""),"$20.99 / $10.79")</f>
        <v>$20.99 / $10.79</v>
      </c>
    </row>
    <row r="40" spans="1:12" ht="14.25">
      <c r="A40" s="5" t="str">
        <f ca="1">IFERROR(__xludf.DUMMYFUNCTION("""COMPUTED_VALUE"""),"EM 3173:  Paradigms for Christian Mission")</f>
        <v>EM 3173:  Paradigms for Christian Mission</v>
      </c>
      <c r="B40" s="5" t="str">
        <f ca="1">IFERROR(__xludf.DUMMYFUNCTION("""COMPUTED_VALUE"""),"Kirkpatrick, C.")</f>
        <v>Kirkpatrick, C.</v>
      </c>
      <c r="C40" s="5" t="str">
        <f ca="1">IFERROR(__xludf.DUMMYFUNCTION("""COMPUTED_VALUE"""),"J-Term 2021")</f>
        <v>J-Term 2021</v>
      </c>
      <c r="D40" s="5" t="str">
        <f ca="1">IFERROR(__xludf.DUMMYFUNCTION("""COMPUTED_VALUE"""),"Recommended")</f>
        <v>Recommended</v>
      </c>
      <c r="E40" s="5" t="str">
        <f ca="1">IFERROR(__xludf.DUMMYFUNCTION("""COMPUTED_VALUE"""),"Don Richter")</f>
        <v>Don Richter</v>
      </c>
      <c r="F40" s="5" t="str">
        <f ca="1">IFERROR(__xludf.DUMMYFUNCTION("""COMPUTED_VALUE"""),"Mission Trips that Matter: Embodied Faith for the Sake of the World ")</f>
        <v xml:space="preserve">Mission Trips that Matter: Embodied Faith for the Sake of the World </v>
      </c>
      <c r="G40" s="5" t="str">
        <f ca="1">IFERROR(__xludf.DUMMYFUNCTION("""COMPUTED_VALUE"""),"Upper Room Books")</f>
        <v>Upper Room Books</v>
      </c>
      <c r="H40" s="5">
        <f ca="1">IFERROR(__xludf.DUMMYFUNCTION("""COMPUTED_VALUE"""),2008)</f>
        <v>2008</v>
      </c>
      <c r="I40" s="5" t="str">
        <f ca="1">IFERROR(__xludf.DUMMYFUNCTION("""COMPUTED_VALUE"""),"NA")</f>
        <v>NA</v>
      </c>
      <c r="J40" s="5" t="str">
        <f ca="1">IFERROR(__xludf.DUMMYFUNCTION("""COMPUTED_VALUE"""),"978-0835899475")</f>
        <v>978-0835899475</v>
      </c>
      <c r="K40" s="5" t="str">
        <f ca="1">IFERROR(__xludf.DUMMYFUNCTION("""COMPUTED_VALUE"""),"$17.00 / $3.30")</f>
        <v>$17.00 / $3.30</v>
      </c>
    </row>
    <row r="41" spans="1:12" ht="14.25">
      <c r="A41" s="5" t="str">
        <f ca="1">IFERROR(__xludf.DUMMYFUNCTION("""COMPUTED_VALUE"""),"EM 3173:  Paradigms for Christian Mission")</f>
        <v>EM 3173:  Paradigms for Christian Mission</v>
      </c>
      <c r="B41" s="5" t="str">
        <f ca="1">IFERROR(__xludf.DUMMYFUNCTION("""COMPUTED_VALUE"""),"Kirkpatrick, C.")</f>
        <v>Kirkpatrick, C.</v>
      </c>
      <c r="C41" s="5" t="str">
        <f ca="1">IFERROR(__xludf.DUMMYFUNCTION("""COMPUTED_VALUE"""),"J-Term 2021")</f>
        <v>J-Term 2021</v>
      </c>
      <c r="D41" s="5" t="str">
        <f ca="1">IFERROR(__xludf.DUMMYFUNCTION("""COMPUTED_VALUE"""),"Recommended")</f>
        <v>Recommended</v>
      </c>
      <c r="E41" s="5" t="str">
        <f ca="1">IFERROR(__xludf.DUMMYFUNCTION("""COMPUTED_VALUE"""),"Vera White and Charles Wiley")</f>
        <v>Vera White and Charles Wiley</v>
      </c>
      <c r="F41" s="5" t="str">
        <f ca="1">IFERROR(__xludf.DUMMYFUNCTION("""COMPUTED_VALUE"""),"New Worshipping Communities: A Theological Exploration")</f>
        <v>New Worshipping Communities: A Theological Exploration</v>
      </c>
      <c r="G41" s="5" t="str">
        <f ca="1">IFERROR(__xludf.DUMMYFUNCTION("""COMPUTED_VALUE"""),"Westminster John Knox")</f>
        <v>Westminster John Knox</v>
      </c>
      <c r="H41" s="5">
        <f ca="1">IFERROR(__xludf.DUMMYFUNCTION("""COMPUTED_VALUE"""),2018)</f>
        <v>2018</v>
      </c>
      <c r="I41" s="5" t="str">
        <f ca="1">IFERROR(__xludf.DUMMYFUNCTION("""COMPUTED_VALUE"""),"1st edition")</f>
        <v>1st edition</v>
      </c>
      <c r="J41" s="5" t="str">
        <f ca="1">IFERROR(__xludf.DUMMYFUNCTION("""COMPUTED_VALUE"""),"978-0664263096")</f>
        <v>978-0664263096</v>
      </c>
      <c r="K41" s="5" t="str">
        <f ca="1">IFERROR(__xludf.DUMMYFUNCTION("""COMPUTED_VALUE"""),"$20.00 / $18.39")</f>
        <v>$20.00 / $18.39</v>
      </c>
    </row>
    <row r="42" spans="1:12" ht="14.25">
      <c r="A42" s="5"/>
      <c r="B42" s="5"/>
      <c r="C42" s="5"/>
      <c r="D42" s="5"/>
      <c r="E42" s="5"/>
      <c r="F42" s="5"/>
      <c r="G42" s="5"/>
      <c r="H42" s="5"/>
      <c r="I42" s="5"/>
      <c r="J42" s="5"/>
      <c r="K42" s="5"/>
    </row>
    <row r="43" spans="1:12" ht="14.25">
      <c r="A43" s="5" t="str">
        <f ca="1">IFERROR(__xludf.DUMMYFUNCTION("""COMPUTED_VALUE"""),"OT 3263:  Womanist Interpretation of the Hebrew Bible")</f>
        <v>OT 3263:  Womanist Interpretation of the Hebrew Bible</v>
      </c>
      <c r="B43" s="5" t="str">
        <f ca="1">IFERROR(__xludf.DUMMYFUNCTION("""COMPUTED_VALUE"""),"Reed, J.")</f>
        <v>Reed, J.</v>
      </c>
      <c r="C43" s="5" t="str">
        <f ca="1">IFERROR(__xludf.DUMMYFUNCTION("""COMPUTED_VALUE"""),"J-Term 2021")</f>
        <v>J-Term 2021</v>
      </c>
      <c r="D43" s="5" t="str">
        <f ca="1">IFERROR(__xludf.DUMMYFUNCTION("""COMPUTED_VALUE"""),"Required")</f>
        <v>Required</v>
      </c>
      <c r="E43" s="5" t="str">
        <f ca="1">IFERROR(__xludf.DUMMYFUNCTION("""COMPUTED_VALUE"""),"Mitzi Smith, ed.")</f>
        <v>Mitzi Smith, ed.</v>
      </c>
      <c r="F43" s="5" t="str">
        <f ca="1">IFERROR(__xludf.DUMMYFUNCTION("""COMPUTED_VALUE"""),"I Found God in Me")</f>
        <v>I Found God in Me</v>
      </c>
      <c r="G43" s="5" t="str">
        <f ca="1">IFERROR(__xludf.DUMMYFUNCTION("""COMPUTED_VALUE"""),"Cascade Books")</f>
        <v>Cascade Books</v>
      </c>
      <c r="H43" s="5">
        <f ca="1">IFERROR(__xludf.DUMMYFUNCTION("""COMPUTED_VALUE"""),2015)</f>
        <v>2015</v>
      </c>
      <c r="I43" s="5" t="str">
        <f ca="1">IFERROR(__xludf.DUMMYFUNCTION("""COMPUTED_VALUE"""),"1")</f>
        <v>1</v>
      </c>
      <c r="J43" s="5" t="str">
        <f ca="1">IFERROR(__xludf.DUMMYFUNCTION("""COMPUTED_VALUE"""),"9781625647450")</f>
        <v>9781625647450</v>
      </c>
      <c r="K43" s="5" t="str">
        <f ca="1">IFERROR(__xludf.DUMMYFUNCTION("""COMPUTED_VALUE"""),"$34")</f>
        <v>$34</v>
      </c>
      <c r="L43" s="4" t="s">
        <v>2</v>
      </c>
    </row>
    <row r="44" spans="1:12" ht="14.25">
      <c r="A44" s="5" t="str">
        <f ca="1">IFERROR(__xludf.DUMMYFUNCTION("""COMPUTED_VALUE"""),"OT 3263:  Womanist Interpretation of the Hebrew Bible")</f>
        <v>OT 3263:  Womanist Interpretation of the Hebrew Bible</v>
      </c>
      <c r="B44" s="5" t="str">
        <f ca="1">IFERROR(__xludf.DUMMYFUNCTION("""COMPUTED_VALUE"""),"Reed, J.")</f>
        <v>Reed, J.</v>
      </c>
      <c r="C44" s="5" t="str">
        <f ca="1">IFERROR(__xludf.DUMMYFUNCTION("""COMPUTED_VALUE"""),"J-Term 2021")</f>
        <v>J-Term 2021</v>
      </c>
      <c r="D44" s="5" t="str">
        <f ca="1">IFERROR(__xludf.DUMMYFUNCTION("""COMPUTED_VALUE"""),"Required")</f>
        <v>Required</v>
      </c>
      <c r="E44" s="5" t="str">
        <f ca="1">IFERROR(__xludf.DUMMYFUNCTION("""COMPUTED_VALUE"""),"Gay Byron and Vanessa Lovelace, eds.")</f>
        <v>Gay Byron and Vanessa Lovelace, eds.</v>
      </c>
      <c r="F44" s="5" t="str">
        <f ca="1">IFERROR(__xludf.DUMMYFUNCTION("""COMPUTED_VALUE"""),"Womanist Interpretations of the Bible: Expanding the Discourse")</f>
        <v>Womanist Interpretations of the Bible: Expanding the Discourse</v>
      </c>
      <c r="G44" s="5" t="str">
        <f ca="1">IFERROR(__xludf.DUMMYFUNCTION("""COMPUTED_VALUE"""),"Society of Biblical Literature")</f>
        <v>Society of Biblical Literature</v>
      </c>
      <c r="H44" s="5">
        <f ca="1">IFERROR(__xludf.DUMMYFUNCTION("""COMPUTED_VALUE"""),2016)</f>
        <v>2016</v>
      </c>
      <c r="I44" s="5" t="str">
        <f ca="1">IFERROR(__xludf.DUMMYFUNCTION("""COMPUTED_VALUE"""),"1")</f>
        <v>1</v>
      </c>
      <c r="J44" s="5" t="str">
        <f ca="1">IFERROR(__xludf.DUMMYFUNCTION("""COMPUTED_VALUE"""),"9781628371529")</f>
        <v>9781628371529</v>
      </c>
      <c r="K44" s="5" t="str">
        <f ca="1">IFERROR(__xludf.DUMMYFUNCTION("""COMPUTED_VALUE"""),"43.89")</f>
        <v>43.89</v>
      </c>
      <c r="L44" s="4" t="s">
        <v>2</v>
      </c>
    </row>
    <row r="45" spans="1:12" ht="14.25">
      <c r="A45" s="5" t="str">
        <f ca="1">IFERROR(__xludf.DUMMYFUNCTION("""COMPUTED_VALUE"""),"OT 3263:  Womanist Interpretation of the Hebrew Bible")</f>
        <v>OT 3263:  Womanist Interpretation of the Hebrew Bible</v>
      </c>
      <c r="B45" s="5" t="str">
        <f ca="1">IFERROR(__xludf.DUMMYFUNCTION("""COMPUTED_VALUE"""),"Reed, J.")</f>
        <v>Reed, J.</v>
      </c>
      <c r="C45" s="5" t="str">
        <f ca="1">IFERROR(__xludf.DUMMYFUNCTION("""COMPUTED_VALUE"""),"J-Term 2021")</f>
        <v>J-Term 2021</v>
      </c>
      <c r="D45" s="5" t="str">
        <f ca="1">IFERROR(__xludf.DUMMYFUNCTION("""COMPUTED_VALUE"""),"Required")</f>
        <v>Required</v>
      </c>
      <c r="E45" s="5" t="str">
        <f ca="1">IFERROR(__xludf.DUMMYFUNCTION("""COMPUTED_VALUE"""),"Nyasha Junior")</f>
        <v>Nyasha Junior</v>
      </c>
      <c r="F45" s="5" t="str">
        <f ca="1">IFERROR(__xludf.DUMMYFUNCTION("""COMPUTED_VALUE"""),"An Introduction to Womanist Biblical Interpretation")</f>
        <v>An Introduction to Womanist Biblical Interpretation</v>
      </c>
      <c r="G45" s="5" t="s">
        <v>3</v>
      </c>
      <c r="H45" s="5">
        <f ca="1">IFERROR(__xludf.DUMMYFUNCTION("""COMPUTED_VALUE"""),2015)</f>
        <v>2015</v>
      </c>
      <c r="I45" s="5" t="str">
        <f ca="1">IFERROR(__xludf.DUMMYFUNCTION("""COMPUTED_VALUE"""),"1")</f>
        <v>1</v>
      </c>
      <c r="J45" s="5" t="str">
        <f ca="1">IFERROR(__xludf.DUMMYFUNCTION("""COMPUTED_VALUE"""),"9780664259877")</f>
        <v>9780664259877</v>
      </c>
      <c r="K45" s="5" t="s">
        <v>4</v>
      </c>
      <c r="L45" s="4" t="s">
        <v>5</v>
      </c>
    </row>
    <row r="46" spans="1:12" ht="14.25">
      <c r="A46" s="5" t="str">
        <f ca="1">IFERROR(__xludf.DUMMYFUNCTION("""COMPUTED_VALUE"""),"OT 3263:  Womanist Interpretation of the Hebrew Bible")</f>
        <v>OT 3263:  Womanist Interpretation of the Hebrew Bible</v>
      </c>
      <c r="B46" s="5" t="str">
        <f ca="1">IFERROR(__xludf.DUMMYFUNCTION("""COMPUTED_VALUE"""),"Reed, J.")</f>
        <v>Reed, J.</v>
      </c>
      <c r="C46" s="5" t="str">
        <f ca="1">IFERROR(__xludf.DUMMYFUNCTION("""COMPUTED_VALUE"""),"J-Term 2021")</f>
        <v>J-Term 2021</v>
      </c>
      <c r="D46" s="5" t="str">
        <f ca="1">IFERROR(__xludf.DUMMYFUNCTION("""COMPUTED_VALUE"""),"Required")</f>
        <v>Required</v>
      </c>
      <c r="E46" s="5" t="str">
        <f ca="1">IFERROR(__xludf.DUMMYFUNCTION("""COMPUTED_VALUE"""),"Wil Gafney")</f>
        <v>Wil Gafney</v>
      </c>
      <c r="F46" s="5" t="str">
        <f ca="1">IFERROR(__xludf.DUMMYFUNCTION("""COMPUTED_VALUE"""),"Womanist Midrash")</f>
        <v>Womanist Midrash</v>
      </c>
      <c r="G46" s="5" t="str">
        <f ca="1">IFERROR(__xludf.DUMMYFUNCTION("""COMPUTED_VALUE"""),"WJK")</f>
        <v>WJK</v>
      </c>
      <c r="H46" s="5">
        <f ca="1">IFERROR(__xludf.DUMMYFUNCTION("""COMPUTED_VALUE"""),2017)</f>
        <v>2017</v>
      </c>
      <c r="I46" s="5" t="str">
        <f ca="1">IFERROR(__xludf.DUMMYFUNCTION("""COMPUTED_VALUE"""),"1")</f>
        <v>1</v>
      </c>
      <c r="J46" s="5" t="str">
        <f ca="1">IFERROR(__xludf.DUMMYFUNCTION("""COMPUTED_VALUE"""),"9780664239039")</f>
        <v>9780664239039</v>
      </c>
      <c r="K46" s="5" t="str">
        <f ca="1">IFERROR(__xludf.DUMMYFUNCTION("""COMPUTED_VALUE"""),"$35.00 / $23.49")</f>
        <v>$35.00 / $23.49</v>
      </c>
      <c r="L46" s="4" t="s">
        <v>5</v>
      </c>
    </row>
    <row r="47" spans="1:12" ht="14.25">
      <c r="A47" s="5" t="str">
        <f ca="1">IFERROR(__xludf.DUMMYFUNCTION("""COMPUTED_VALUE"""),"OT 3263:  Womanist Interpretation of the Hebrew Bible")</f>
        <v>OT 3263:  Womanist Interpretation of the Hebrew Bible</v>
      </c>
      <c r="B47" s="5" t="str">
        <f ca="1">IFERROR(__xludf.DUMMYFUNCTION("""COMPUTED_VALUE"""),"Reed, J.")</f>
        <v>Reed, J.</v>
      </c>
      <c r="C47" s="5" t="str">
        <f ca="1">IFERROR(__xludf.DUMMYFUNCTION("""COMPUTED_VALUE"""),"J-Term 2021")</f>
        <v>J-Term 2021</v>
      </c>
      <c r="D47" s="5" t="str">
        <f ca="1">IFERROR(__xludf.DUMMYFUNCTION("""COMPUTED_VALUE"""),"Required")</f>
        <v>Required</v>
      </c>
      <c r="E47" s="5" t="str">
        <f ca="1">IFERROR(__xludf.DUMMYFUNCTION("""COMPUTED_VALUE"""),"Stephanie Crowder")</f>
        <v>Stephanie Crowder</v>
      </c>
      <c r="F47" s="5" t="str">
        <f ca="1">IFERROR(__xludf.DUMMYFUNCTION("""COMPUTED_VALUE"""),"When Momma Speaks")</f>
        <v>When Momma Speaks</v>
      </c>
      <c r="G47" s="5" t="str">
        <f ca="1">IFERROR(__xludf.DUMMYFUNCTION("""COMPUTED_VALUE"""),"WJK")</f>
        <v>WJK</v>
      </c>
      <c r="H47" s="5">
        <f ca="1">IFERROR(__xludf.DUMMYFUNCTION("""COMPUTED_VALUE"""),2016)</f>
        <v>2016</v>
      </c>
      <c r="I47" s="5" t="str">
        <f ca="1">IFERROR(__xludf.DUMMYFUNCTION("""COMPUTED_VALUE"""),"?")</f>
        <v>?</v>
      </c>
      <c r="J47" s="5" t="str">
        <f ca="1">IFERROR(__xludf.DUMMYFUNCTION("""COMPUTED_VALUE"""),"9780664239251")</f>
        <v>9780664239251</v>
      </c>
      <c r="K47" s="5" t="str">
        <f ca="1">IFERROR(__xludf.DUMMYFUNCTION("""COMPUTED_VALUE"""),"$22.00 / $18.38")</f>
        <v>$22.00 / $18.38</v>
      </c>
      <c r="L47" s="4" t="s">
        <v>5</v>
      </c>
    </row>
    <row r="48" spans="1:12" ht="14.25">
      <c r="A48" s="5" t="str">
        <f ca="1">IFERROR(__xludf.DUMMYFUNCTION("""COMPUTED_VALUE"""),"OT 3263:  Womanist Interpretation of the Hebrew Bible")</f>
        <v>OT 3263:  Womanist Interpretation of the Hebrew Bible</v>
      </c>
      <c r="B48" s="5" t="str">
        <f ca="1">IFERROR(__xludf.DUMMYFUNCTION("""COMPUTED_VALUE"""),"Reed, J.")</f>
        <v>Reed, J.</v>
      </c>
      <c r="C48" s="5" t="str">
        <f ca="1">IFERROR(__xludf.DUMMYFUNCTION("""COMPUTED_VALUE"""),"J-Term 2021")</f>
        <v>J-Term 2021</v>
      </c>
      <c r="D48" s="5" t="str">
        <f ca="1">IFERROR(__xludf.DUMMYFUNCTION("""COMPUTED_VALUE"""),"Required")</f>
        <v>Required</v>
      </c>
      <c r="E48" s="5" t="str">
        <f ca="1">IFERROR(__xludf.DUMMYFUNCTION("""COMPUTED_VALUE"""),"Renita Weems")</f>
        <v>Renita Weems</v>
      </c>
      <c r="F48" s="5" t="str">
        <f ca="1">IFERROR(__xludf.DUMMYFUNCTION("""COMPUTED_VALUE"""),"Just a Sister Away")</f>
        <v>Just a Sister Away</v>
      </c>
      <c r="G48" s="5" t="str">
        <f ca="1">IFERROR(__xludf.DUMMYFUNCTION("""COMPUTED_VALUE"""),"LuraMedia")</f>
        <v>LuraMedia</v>
      </c>
      <c r="H48" s="5">
        <f ca="1">IFERROR(__xludf.DUMMYFUNCTION("""COMPUTED_VALUE"""),1988)</f>
        <v>1988</v>
      </c>
      <c r="I48" s="5" t="str">
        <f ca="1">IFERROR(__xludf.DUMMYFUNCTION("""COMPUTED_VALUE"""),"1")</f>
        <v>1</v>
      </c>
      <c r="J48" s="5" t="str">
        <f ca="1">IFERROR(__xludf.DUMMYFUNCTION("""COMPUTED_VALUE"""),"9780931055522")</f>
        <v>9780931055522</v>
      </c>
      <c r="K48" s="5" t="str">
        <f ca="1">IFERROR(__xludf.DUMMYFUNCTION("""COMPUTED_VALUE"""),"/ $28.99")</f>
        <v>/ $28.99</v>
      </c>
      <c r="L48" s="4" t="s">
        <v>2</v>
      </c>
    </row>
    <row r="49" spans="1:11" ht="14.25">
      <c r="A49" s="5"/>
      <c r="B49" s="5"/>
      <c r="C49" s="5"/>
      <c r="D49" s="5"/>
      <c r="E49" s="5"/>
      <c r="F49" s="5"/>
      <c r="G49" s="5"/>
      <c r="H49" s="5"/>
      <c r="I49" s="5"/>
      <c r="J49" s="5"/>
      <c r="K49" s="5"/>
    </row>
    <row r="50" spans="1:11" ht="14.25">
      <c r="A50" s="5" t="str">
        <f ca="1">IFERROR(__xludf.DUMMYFUNCTION("""COMPUTED_VALUE"""),"PC 3913:  Death, Dying, Grief and Loss")</f>
        <v>PC 3913:  Death, Dying, Grief and Loss</v>
      </c>
      <c r="B50" s="5" t="str">
        <f ca="1">IFERROR(__xludf.DUMMYFUNCTION("""COMPUTED_VALUE"""),"Lowe, S.")</f>
        <v>Lowe, S.</v>
      </c>
      <c r="C50" s="5" t="str">
        <f ca="1">IFERROR(__xludf.DUMMYFUNCTION("""COMPUTED_VALUE"""),"J-Term 2021")</f>
        <v>J-Term 2021</v>
      </c>
      <c r="D50" s="5" t="str">
        <f ca="1">IFERROR(__xludf.DUMMYFUNCTION("""COMPUTED_VALUE"""),"Required")</f>
        <v>Required</v>
      </c>
      <c r="E50" s="5" t="str">
        <f ca="1">IFERROR(__xludf.DUMMYFUNCTION("""COMPUTED_VALUE"""),"Kenneth J. Doka")</f>
        <v>Kenneth J. Doka</v>
      </c>
      <c r="F50" s="5" t="str">
        <f ca="1">IFERROR(__xludf.DUMMYFUNCTION("""COMPUTED_VALUE"""),"Grief is a Journey: Finding Your Path Through Loss")</f>
        <v>Grief is a Journey: Finding Your Path Through Loss</v>
      </c>
      <c r="G50" s="5" t="str">
        <f ca="1">IFERROR(__xludf.DUMMYFUNCTION("""COMPUTED_VALUE"""),"Atria Books")</f>
        <v>Atria Books</v>
      </c>
      <c r="H50" s="5">
        <f ca="1">IFERROR(__xludf.DUMMYFUNCTION("""COMPUTED_VALUE"""),2017)</f>
        <v>2017</v>
      </c>
      <c r="I50" s="5" t="str">
        <f ca="1">IFERROR(__xludf.DUMMYFUNCTION("""COMPUTED_VALUE"""),"Reprint edition")</f>
        <v>Reprint edition</v>
      </c>
      <c r="J50" s="5" t="str">
        <f ca="1">IFERROR(__xludf.DUMMYFUNCTION("""COMPUTED_VALUE""")," 978-1476771519")</f>
        <v xml:space="preserve"> 978-1476771519</v>
      </c>
      <c r="K50" s="5" t="str">
        <f ca="1">IFERROR(__xludf.DUMMYFUNCTION("""COMPUTED_VALUE"""),"$17.00 / $13.59")</f>
        <v>$17.00 / $13.59</v>
      </c>
    </row>
    <row r="51" spans="1:11" ht="14.25">
      <c r="A51" s="5" t="str">
        <f ca="1">IFERROR(__xludf.DUMMYFUNCTION("""COMPUTED_VALUE"""),"PC 3913:  Death, Dying, Grief and Loss")</f>
        <v>PC 3913:  Death, Dying, Grief and Loss</v>
      </c>
      <c r="B51" s="5" t="str">
        <f ca="1">IFERROR(__xludf.DUMMYFUNCTION("""COMPUTED_VALUE"""),"Lowe, S.")</f>
        <v>Lowe, S.</v>
      </c>
      <c r="C51" s="5" t="str">
        <f ca="1">IFERROR(__xludf.DUMMYFUNCTION("""COMPUTED_VALUE"""),"J-Term 2021")</f>
        <v>J-Term 2021</v>
      </c>
      <c r="D51" s="5" t="str">
        <f ca="1">IFERROR(__xludf.DUMMYFUNCTION("""COMPUTED_VALUE"""),"Required")</f>
        <v>Required</v>
      </c>
      <c r="E51" s="5" t="str">
        <f ca="1">IFERROR(__xludf.DUMMYFUNCTION("""COMPUTED_VALUE"""),"Melissa M. Kelley")</f>
        <v>Melissa M. Kelley</v>
      </c>
      <c r="F51" s="5" t="str">
        <f ca="1">IFERROR(__xludf.DUMMYFUNCTION("""COMPUTED_VALUE"""),"Grief: Contemporary Theory and the Practice of Ministry")</f>
        <v>Grief: Contemporary Theory and the Practice of Ministry</v>
      </c>
      <c r="G51" s="5" t="str">
        <f ca="1">IFERROR(__xludf.DUMMYFUNCTION("""COMPUTED_VALUE"""),"Fortress Press")</f>
        <v>Fortress Press</v>
      </c>
      <c r="H51" s="5">
        <f ca="1">IFERROR(__xludf.DUMMYFUNCTION("""COMPUTED_VALUE"""),2010)</f>
        <v>2010</v>
      </c>
      <c r="I51" s="5" t="str">
        <f ca="1">IFERROR(__xludf.DUMMYFUNCTION("""COMPUTED_VALUE"""),"1st edition")</f>
        <v>1st edition</v>
      </c>
      <c r="J51" s="5" t="str">
        <f ca="1">IFERROR(__xludf.DUMMYFUNCTION("""COMPUTED_VALUE"""),"978-0800696610")</f>
        <v>978-0800696610</v>
      </c>
      <c r="K51" s="5" t="str">
        <f ca="1">IFERROR(__xludf.DUMMYFUNCTION("""COMPUTED_VALUE"""),"/ $19.25")</f>
        <v>/ $19.25</v>
      </c>
    </row>
    <row r="52" spans="1:11" ht="14.25">
      <c r="A52" s="5" t="str">
        <f ca="1">IFERROR(__xludf.DUMMYFUNCTION("""COMPUTED_VALUE"""),"PC 3913:  Death, Dying, Grief and Loss")</f>
        <v>PC 3913:  Death, Dying, Grief and Loss</v>
      </c>
      <c r="B52" s="5" t="str">
        <f ca="1">IFERROR(__xludf.DUMMYFUNCTION("""COMPUTED_VALUE"""),"Lowe, S.")</f>
        <v>Lowe, S.</v>
      </c>
      <c r="C52" s="5" t="str">
        <f ca="1">IFERROR(__xludf.DUMMYFUNCTION("""COMPUTED_VALUE"""),"J-Term 2021")</f>
        <v>J-Term 2021</v>
      </c>
      <c r="D52" s="5" t="str">
        <f ca="1">IFERROR(__xludf.DUMMYFUNCTION("""COMPUTED_VALUE"""),"Required")</f>
        <v>Required</v>
      </c>
      <c r="E52" s="5" t="str">
        <f ca="1">IFERROR(__xludf.DUMMYFUNCTION("""COMPUTED_VALUE"""),"Fred Craddock, D. Goldsmith, and J. Goldsmith")</f>
        <v>Fred Craddock, D. Goldsmith, and J. Goldsmith</v>
      </c>
      <c r="F52" s="5" t="str">
        <f ca="1">IFERROR(__xludf.DUMMYFUNCTION("""COMPUTED_VALUE"""),"Speaking of Dying: Recovering the Church's Voice in the Face of Death")</f>
        <v>Speaking of Dying: Recovering the Church's Voice in the Face of Death</v>
      </c>
      <c r="G52" s="5" t="str">
        <f ca="1">IFERROR(__xludf.DUMMYFUNCTION("""COMPUTED_VALUE"""),"Brazos Press")</f>
        <v>Brazos Press</v>
      </c>
      <c r="H52" s="5">
        <f ca="1">IFERROR(__xludf.DUMMYFUNCTION("""COMPUTED_VALUE"""),2012)</f>
        <v>2012</v>
      </c>
      <c r="I52" s="5" t="str">
        <f ca="1">IFERROR(__xludf.DUMMYFUNCTION("""COMPUTED_VALUE"""),"Illustrated edition")</f>
        <v>Illustrated edition</v>
      </c>
      <c r="J52" s="5" t="str">
        <f ca="1">IFERROR(__xludf.DUMMYFUNCTION("""COMPUTED_VALUE""")," 978-1587433238")</f>
        <v xml:space="preserve"> 978-1587433238</v>
      </c>
      <c r="K52" s="5" t="str">
        <f ca="1">IFERROR(__xludf.DUMMYFUNCTION("""COMPUTED_VALUE"""),"/  $24.00")</f>
        <v>/  $24.00</v>
      </c>
    </row>
    <row r="53" spans="1:11" ht="14.25">
      <c r="A53" s="5" t="str">
        <f ca="1">IFERROR(__xludf.DUMMYFUNCTION("""COMPUTED_VALUE"""),"PC 3913:  Death, Dying, Grief and Loss")</f>
        <v>PC 3913:  Death, Dying, Grief and Loss</v>
      </c>
      <c r="B53" s="5" t="str">
        <f ca="1">IFERROR(__xludf.DUMMYFUNCTION("""COMPUTED_VALUE"""),"Lowe, S.")</f>
        <v>Lowe, S.</v>
      </c>
      <c r="C53" s="5" t="str">
        <f ca="1">IFERROR(__xludf.DUMMYFUNCTION("""COMPUTED_VALUE"""),"J-Term 2021")</f>
        <v>J-Term 2021</v>
      </c>
      <c r="D53" s="5" t="str">
        <f ca="1">IFERROR(__xludf.DUMMYFUNCTION("""COMPUTED_VALUE"""),"Required")</f>
        <v>Required</v>
      </c>
      <c r="E53" s="5" t="str">
        <f ca="1">IFERROR(__xludf.DUMMYFUNCTION("""COMPUTED_VALUE"""),"Celeste Ng")</f>
        <v>Celeste Ng</v>
      </c>
      <c r="F53" s="5" t="str">
        <f ca="1">IFERROR(__xludf.DUMMYFUNCTION("""COMPUTED_VALUE"""),"Everything I Never Told You")</f>
        <v>Everything I Never Told You</v>
      </c>
      <c r="G53" s="5" t="str">
        <f ca="1">IFERROR(__xludf.DUMMYFUNCTION("""COMPUTED_VALUE"""),"Penguin Books")</f>
        <v>Penguin Books</v>
      </c>
      <c r="H53" s="5">
        <f ca="1">IFERROR(__xludf.DUMMYFUNCTION("""COMPUTED_VALUE"""),2015)</f>
        <v>2015</v>
      </c>
      <c r="I53" s="5" t="str">
        <f ca="1">IFERROR(__xludf.DUMMYFUNCTION("""COMPUTED_VALUE"""),"Reprint edition")</f>
        <v>Reprint edition</v>
      </c>
      <c r="J53" s="5" t="str">
        <f ca="1">IFERROR(__xludf.DUMMYFUNCTION("""COMPUTED_VALUE"""),"978-0143127550")</f>
        <v>978-0143127550</v>
      </c>
      <c r="K53" s="5" t="str">
        <f ca="1">IFERROR(__xludf.DUMMYFUNCTION("""COMPUTED_VALUE"""),"$17.00 / $7.25")</f>
        <v>$17.00 / $7.25</v>
      </c>
    </row>
    <row r="54" spans="1:11" ht="14.25">
      <c r="A54" s="5" t="str">
        <f ca="1">IFERROR(__xludf.DUMMYFUNCTION("""COMPUTED_VALUE"""),"PC 3913:  Death, Dying, Grief and Loss")</f>
        <v>PC 3913:  Death, Dying, Grief and Loss</v>
      </c>
      <c r="B54" s="10" t="s">
        <v>6</v>
      </c>
      <c r="C54" s="5"/>
      <c r="D54" s="5"/>
      <c r="E54" s="5"/>
      <c r="F54" s="5"/>
      <c r="G54" s="5"/>
      <c r="H54" s="5"/>
      <c r="I54" s="5"/>
      <c r="J54" s="5"/>
      <c r="K54" s="5"/>
    </row>
    <row r="55" spans="1:11" ht="14.25">
      <c r="A55" s="5" t="str">
        <f ca="1">IFERROR(__xludf.DUMMYFUNCTION("""COMPUTED_VALUE"""),"PC 3913:  Death, Dying, Grief and Loss")</f>
        <v>PC 3913:  Death, Dying, Grief and Loss</v>
      </c>
      <c r="B55" s="5" t="str">
        <f ca="1">IFERROR(__xludf.DUMMYFUNCTION("""COMPUTED_VALUE"""),"Lowe, S.")</f>
        <v>Lowe, S.</v>
      </c>
      <c r="C55" s="5" t="str">
        <f ca="1">IFERROR(__xludf.DUMMYFUNCTION("""COMPUTED_VALUE"""),"J-Term 2021")</f>
        <v>J-Term 2021</v>
      </c>
      <c r="D55" s="5" t="str">
        <f ca="1">IFERROR(__xludf.DUMMYFUNCTION("""COMPUTED_VALUE"""),"Recommended")</f>
        <v>Recommended</v>
      </c>
      <c r="E55" s="5" t="str">
        <f ca="1">IFERROR(__xludf.DUMMYFUNCTION("""COMPUTED_VALUE"""),"Martha Jacobs")</f>
        <v>Martha Jacobs</v>
      </c>
      <c r="F55" s="5" t="str">
        <f ca="1">IFERROR(__xludf.DUMMYFUNCTION("""COMPUTED_VALUE"""),"A Clergy Guide to End-of-Life Issues")</f>
        <v>A Clergy Guide to End-of-Life Issues</v>
      </c>
      <c r="G55" s="5" t="str">
        <f ca="1">IFERROR(__xludf.DUMMYFUNCTION("""COMPUTED_VALUE"""),"Pilgrim Press")</f>
        <v>Pilgrim Press</v>
      </c>
      <c r="H55" s="5">
        <f ca="1">IFERROR(__xludf.DUMMYFUNCTION("""COMPUTED_VALUE"""),2010)</f>
        <v>2010</v>
      </c>
      <c r="I55" s="5" t="str">
        <f ca="1">IFERROR(__xludf.DUMMYFUNCTION("""COMPUTED_VALUE"""),"1st edition")</f>
        <v>1st edition</v>
      </c>
      <c r="J55" s="5" t="str">
        <f ca="1">IFERROR(__xludf.DUMMYFUNCTION("""COMPUTED_VALUE"""),"978-0829818598")</f>
        <v>978-0829818598</v>
      </c>
      <c r="K55" s="5" t="str">
        <f ca="1">IFERROR(__xludf.DUMMYFUNCTION("""COMPUTED_VALUE"""),"/ $16.00")</f>
        <v>/ $16.00</v>
      </c>
    </row>
    <row r="56" spans="1:11" ht="14.25">
      <c r="A56" s="5" t="str">
        <f ca="1">IFERROR(__xludf.DUMMYFUNCTION("""COMPUTED_VALUE"""),"PC 3913:  Death, Dying, Grief and Loss")</f>
        <v>PC 3913:  Death, Dying, Grief and Loss</v>
      </c>
      <c r="B56" s="5" t="str">
        <f ca="1">IFERROR(__xludf.DUMMYFUNCTION("""COMPUTED_VALUE"""),"Lowe, S.")</f>
        <v>Lowe, S.</v>
      </c>
      <c r="C56" s="5" t="str">
        <f ca="1">IFERROR(__xludf.DUMMYFUNCTION("""COMPUTED_VALUE"""),"J-Term 2021")</f>
        <v>J-Term 2021</v>
      </c>
      <c r="D56" s="5" t="str">
        <f ca="1">IFERROR(__xludf.DUMMYFUNCTION("""COMPUTED_VALUE"""),"Recommended")</f>
        <v>Recommended</v>
      </c>
      <c r="E56" s="5" t="str">
        <f ca="1">IFERROR(__xludf.DUMMYFUNCTION("""COMPUTED_VALUE"""),"Hank Dunn")</f>
        <v>Hank Dunn</v>
      </c>
      <c r="F56" s="5" t="str">
        <f ca="1">IFERROR(__xludf.DUMMYFUNCTION("""COMPUTED_VALUE"""),"Hard Choices for Loving People: CPR, Feeding Tubes, Palliative Care, Comfort Measures, and the Patient with a Serious Illness. ")</f>
        <v xml:space="preserve">Hard Choices for Loving People: CPR, Feeding Tubes, Palliative Care, Comfort Measures, and the Patient with a Serious Illness. </v>
      </c>
      <c r="G56" s="5" t="str">
        <f ca="1">IFERROR(__xludf.DUMMYFUNCTION("""COMPUTED_VALUE"""),"Quality of Life Publishing")</f>
        <v>Quality of Life Publishing</v>
      </c>
      <c r="H56" s="5">
        <f ca="1">IFERROR(__xludf.DUMMYFUNCTION("""COMPUTED_VALUE"""),2016)</f>
        <v>2016</v>
      </c>
      <c r="I56" s="5" t="str">
        <f ca="1">IFERROR(__xludf.DUMMYFUNCTION("""COMPUTED_VALUE"""),"6th edition")</f>
        <v>6th edition</v>
      </c>
      <c r="J56" s="5" t="str">
        <f ca="1">IFERROR(__xludf.DUMMYFUNCTION("""COMPUTED_VALUE"""),"978-0829818598")</f>
        <v>978-0829818598</v>
      </c>
      <c r="K56" s="5" t="str">
        <f ca="1">IFERROR(__xludf.DUMMYFUNCTION("""COMPUTED_VALUE"""),"/ $7.35")</f>
        <v>/ $7.35</v>
      </c>
    </row>
    <row r="57" spans="1:11" ht="14.25">
      <c r="A57" s="5" t="str">
        <f ca="1">IFERROR(__xludf.DUMMYFUNCTION("""COMPUTED_VALUE"""),"PC 3913:  Death, Dying, Grief and Loss")</f>
        <v>PC 3913:  Death, Dying, Grief and Loss</v>
      </c>
      <c r="B57" s="5" t="str">
        <f ca="1">IFERROR(__xludf.DUMMYFUNCTION("""COMPUTED_VALUE"""),"Lowe, S.")</f>
        <v>Lowe, S.</v>
      </c>
      <c r="C57" s="5" t="str">
        <f ca="1">IFERROR(__xludf.DUMMYFUNCTION("""COMPUTED_VALUE"""),"J-Term 2021")</f>
        <v>J-Term 2021</v>
      </c>
      <c r="D57" s="5" t="str">
        <f ca="1">IFERROR(__xludf.DUMMYFUNCTION("""COMPUTED_VALUE"""),"Recommended")</f>
        <v>Recommended</v>
      </c>
      <c r="E57" s="5" t="str">
        <f ca="1">IFERROR(__xludf.DUMMYFUNCTION("""COMPUTED_VALUE"""),"Alan Wolfelt")</f>
        <v>Alan Wolfelt</v>
      </c>
      <c r="F57" s="5" t="str">
        <f ca="1">IFERROR(__xludf.DUMMYFUNCTION("""COMPUTED_VALUE"""),"Companioning You: A Soulful Guide to Caring for Yourself While You Care for the Dying and the Bereaved")</f>
        <v>Companioning You: A Soulful Guide to Caring for Yourself While You Care for the Dying and the Bereaved</v>
      </c>
      <c r="G57" s="5" t="str">
        <f ca="1">IFERROR(__xludf.DUMMYFUNCTION("""COMPUTED_VALUE"""),"Companion Press")</f>
        <v>Companion Press</v>
      </c>
      <c r="H57" s="5">
        <f ca="1">IFERROR(__xludf.DUMMYFUNCTION("""COMPUTED_VALUE"""),2012)</f>
        <v>2012</v>
      </c>
      <c r="I57" s="5" t="str">
        <f ca="1">IFERROR(__xludf.DUMMYFUNCTION("""COMPUTED_VALUE"""),"1st edition")</f>
        <v>1st edition</v>
      </c>
      <c r="J57" s="5" t="str">
        <f ca="1">IFERROR(__xludf.DUMMYFUNCTION("""COMPUTED_VALUE"""),"978-1617221668")</f>
        <v>978-1617221668</v>
      </c>
      <c r="K57" s="5" t="str">
        <f ca="1">IFERROR(__xludf.DUMMYFUNCTION("""COMPUTED_VALUE"""),"/ $15.95")</f>
        <v>/ $15.95</v>
      </c>
    </row>
    <row r="58" spans="1:11" ht="14.25">
      <c r="A58" s="5" t="str">
        <f ca="1">IFERROR(__xludf.DUMMYFUNCTION("""COMPUTED_VALUE"""),"PC 3913:  Death, Dying, Grief and Loss")</f>
        <v>PC 3913:  Death, Dying, Grief and Loss</v>
      </c>
      <c r="B58" s="5" t="str">
        <f ca="1">IFERROR(__xludf.DUMMYFUNCTION("""COMPUTED_VALUE"""),"Lowe, S.")</f>
        <v>Lowe, S.</v>
      </c>
      <c r="C58" s="5" t="str">
        <f ca="1">IFERROR(__xludf.DUMMYFUNCTION("""COMPUTED_VALUE"""),"J-Term 2021")</f>
        <v>J-Term 2021</v>
      </c>
      <c r="D58" s="5" t="str">
        <f ca="1">IFERROR(__xludf.DUMMYFUNCTION("""COMPUTED_VALUE"""),"Recommended")</f>
        <v>Recommended</v>
      </c>
      <c r="E58" s="5" t="str">
        <f ca="1">IFERROR(__xludf.DUMMYFUNCTION("""COMPUTED_VALUE"""),"Alan Wolfelt")</f>
        <v>Alan Wolfelt</v>
      </c>
      <c r="F58" s="10" t="s">
        <v>7</v>
      </c>
      <c r="G58" s="10" t="s">
        <v>8</v>
      </c>
      <c r="H58" s="5">
        <v>2009</v>
      </c>
      <c r="I58" s="11"/>
      <c r="J58" s="10" t="s">
        <v>9</v>
      </c>
      <c r="K58" s="12">
        <v>11.69</v>
      </c>
    </row>
    <row r="59" spans="1:11" ht="14.25">
      <c r="A59" s="5" t="str">
        <f ca="1">IFERROR(__xludf.DUMMYFUNCTION("""COMPUTED_VALUE"""),"PC 3913:  Death, Dying, Grief and Loss")</f>
        <v>PC 3913:  Death, Dying, Grief and Loss</v>
      </c>
      <c r="B59" s="5" t="str">
        <f ca="1">IFERROR(__xludf.DUMMYFUNCTION("""COMPUTED_VALUE"""),"Lowe, S.")</f>
        <v>Lowe, S.</v>
      </c>
      <c r="C59" s="5" t="str">
        <f ca="1">IFERROR(__xludf.DUMMYFUNCTION("""COMPUTED_VALUE"""),"J-Term 2021")</f>
        <v>J-Term 2021</v>
      </c>
      <c r="D59" s="5" t="str">
        <f ca="1">IFERROR(__xludf.DUMMYFUNCTION("""COMPUTED_VALUE"""),"Recommended")</f>
        <v>Recommended</v>
      </c>
      <c r="E59" s="5" t="s">
        <v>10</v>
      </c>
      <c r="F59" s="10" t="s">
        <v>11</v>
      </c>
      <c r="G59" s="10" t="s">
        <v>12</v>
      </c>
      <c r="H59" s="5"/>
      <c r="I59" s="10" t="s">
        <v>13</v>
      </c>
      <c r="J59" s="5" t="s">
        <v>14</v>
      </c>
      <c r="K59" s="5" t="s">
        <v>14</v>
      </c>
    </row>
    <row r="60" spans="1:11" ht="14.25">
      <c r="A60" s="5"/>
      <c r="B60" s="5"/>
      <c r="C60" s="5"/>
      <c r="D60" s="5"/>
      <c r="E60" s="5"/>
      <c r="F60" s="5"/>
      <c r="G60" s="5"/>
      <c r="H60" s="5"/>
      <c r="I60" s="5"/>
      <c r="J60" s="5"/>
      <c r="K60" s="5"/>
    </row>
    <row r="61" spans="1:11" ht="14.25">
      <c r="A61" s="5" t="str">
        <f ca="1">IFERROR(__xludf.DUMMYFUNCTION("""COMPUTED_VALUE"""),"PW 2503:  The Art of Presence: Creative Worship for the People of God")</f>
        <v>PW 2503:  The Art of Presence: Creative Worship for the People of God</v>
      </c>
      <c r="B61" s="5" t="str">
        <f ca="1">IFERROR(__xludf.DUMMYFUNCTION("""COMPUTED_VALUE"""),"Goodman-Morris, M. &amp; C.")</f>
        <v>Goodman-Morris, M. &amp; C.</v>
      </c>
      <c r="C61" s="5" t="str">
        <f ca="1">IFERROR(__xludf.DUMMYFUNCTION("""COMPUTED_VALUE"""),"J-Term 2021")</f>
        <v>J-Term 2021</v>
      </c>
      <c r="D61" s="5" t="str">
        <f ca="1">IFERROR(__xludf.DUMMYFUNCTION("""COMPUTED_VALUE"""),"Required")</f>
        <v>Required</v>
      </c>
      <c r="E61" s="5" t="str">
        <f ca="1">IFERROR(__xludf.DUMMYFUNCTION("""COMPUTED_VALUE"""),"Ruth C. Duck")</f>
        <v>Ruth C. Duck</v>
      </c>
      <c r="F61" s="5" t="str">
        <f ca="1">IFERROR(__xludf.DUMMYFUNCTION("""COMPUTED_VALUE"""),"Worship for the Whole People of God: vital Worship in the 21st Century")</f>
        <v>Worship for the Whole People of God: vital Worship in the 21st Century</v>
      </c>
      <c r="G61" s="5" t="str">
        <f ca="1">IFERROR(__xludf.DUMMYFUNCTION("""COMPUTED_VALUE"""),"Westminster John Knox Press")</f>
        <v>Westminster John Knox Press</v>
      </c>
      <c r="H61" s="5">
        <f ca="1">IFERROR(__xludf.DUMMYFUNCTION("""COMPUTED_VALUE"""),2013)</f>
        <v>2013</v>
      </c>
      <c r="I61" s="5" t="str">
        <f ca="1">IFERROR(__xludf.DUMMYFUNCTION("""COMPUTED_VALUE"""),"Illustrated Edition")</f>
        <v>Illustrated Edition</v>
      </c>
      <c r="J61" s="5" t="str">
        <f ca="1">IFERROR(__xludf.DUMMYFUNCTION("""COMPUTED_VALUE"""),"978-0664234270")</f>
        <v>978-0664234270</v>
      </c>
      <c r="K61" s="5" t="str">
        <f ca="1">IFERROR(__xludf.DUMMYFUNCTION("""COMPUTED_VALUE"""),"$40.00 / $27.99")</f>
        <v>$40.00 / $27.99</v>
      </c>
    </row>
    <row r="62" spans="1:11" ht="14.25">
      <c r="A62" s="5" t="str">
        <f ca="1">IFERROR(__xludf.DUMMYFUNCTION("""COMPUTED_VALUE"""),"PW 2503:  The Art of Presence: Creative Worship for the People of God")</f>
        <v>PW 2503:  The Art of Presence: Creative Worship for the People of God</v>
      </c>
      <c r="B62" s="5" t="str">
        <f ca="1">IFERROR(__xludf.DUMMYFUNCTION("""COMPUTED_VALUE"""),"Goodman-Morris, M. &amp; C.")</f>
        <v>Goodman-Morris, M. &amp; C.</v>
      </c>
      <c r="C62" s="5" t="str">
        <f ca="1">IFERROR(__xludf.DUMMYFUNCTION("""COMPUTED_VALUE"""),"J-Term 2021")</f>
        <v>J-Term 2021</v>
      </c>
      <c r="D62" s="5" t="str">
        <f ca="1">IFERROR(__xludf.DUMMYFUNCTION("""COMPUTED_VALUE"""),"Required")</f>
        <v>Required</v>
      </c>
      <c r="E62" s="5" t="str">
        <f ca="1">IFERROR(__xludf.DUMMYFUNCTION("""COMPUTED_VALUE"""),"Melva Wilson Costen")</f>
        <v>Melva Wilson Costen</v>
      </c>
      <c r="F62" s="5" t="str">
        <f ca="1">IFERROR(__xludf.DUMMYFUNCTION("""COMPUTED_VALUE"""),"African American Christian Worship: Updated Edition")</f>
        <v>African American Christian Worship: Updated Edition</v>
      </c>
      <c r="G62" s="5" t="str">
        <f ca="1">IFERROR(__xludf.DUMMYFUNCTION("""COMPUTED_VALUE"""),"Abingdon Press")</f>
        <v>Abingdon Press</v>
      </c>
      <c r="H62" s="5">
        <f ca="1">IFERROR(__xludf.DUMMYFUNCTION("""COMPUTED_VALUE"""),2003)</f>
        <v>2003</v>
      </c>
      <c r="I62" s="5" t="str">
        <f ca="1">IFERROR(__xludf.DUMMYFUNCTION("""COMPUTED_VALUE"""),"Revised Edition")</f>
        <v>Revised Edition</v>
      </c>
      <c r="J62" s="5" t="str">
        <f ca="1">IFERROR(__xludf.DUMMYFUNCTION("""COMPUTED_VALUE""")," 978-0687646227")</f>
        <v xml:space="preserve"> 978-0687646227</v>
      </c>
      <c r="K62" s="5" t="str">
        <f ca="1">IFERROR(__xludf.DUMMYFUNCTION("""COMPUTED_VALUE"""),"$18.99 / $17.97")</f>
        <v>$18.99 / $17.97</v>
      </c>
    </row>
    <row r="63" spans="1:11" ht="14.25">
      <c r="A63" s="5" t="str">
        <f ca="1">IFERROR(__xludf.DUMMYFUNCTION("""COMPUTED_VALUE"""),"PW 2503:  The Art of Presence: Creative Worship for the People of God")</f>
        <v>PW 2503:  The Art of Presence: Creative Worship for the People of God</v>
      </c>
      <c r="B63" s="5" t="str">
        <f ca="1">IFERROR(__xludf.DUMMYFUNCTION("""COMPUTED_VALUE"""),"Goodman-Morris, M. &amp; C.")</f>
        <v>Goodman-Morris, M. &amp; C.</v>
      </c>
      <c r="C63" s="5" t="str">
        <f ca="1">IFERROR(__xludf.DUMMYFUNCTION("""COMPUTED_VALUE"""),"J-Term 2021")</f>
        <v>J-Term 2021</v>
      </c>
      <c r="D63" s="5" t="str">
        <f ca="1">IFERROR(__xludf.DUMMYFUNCTION("""COMPUTED_VALUE"""),"Required")</f>
        <v>Required</v>
      </c>
      <c r="E63" s="5" t="str">
        <f ca="1">IFERROR(__xludf.DUMMYFUNCTION("""COMPUTED_VALUE"""),"Walter Wink")</f>
        <v>Walter Wink</v>
      </c>
      <c r="F63" s="5" t="str">
        <f ca="1">IFERROR(__xludf.DUMMYFUNCTION("""COMPUTED_VALUE"""),"Transforming Bible Study: A Leader's Guide")</f>
        <v>Transforming Bible Study: A Leader's Guide</v>
      </c>
      <c r="G63" s="5" t="str">
        <f ca="1">IFERROR(__xludf.DUMMYFUNCTION("""COMPUTED_VALUE"""),"Wipf and Stock Publishers")</f>
        <v>Wipf and Stock Publishers</v>
      </c>
      <c r="H63" s="5">
        <f ca="1">IFERROR(__xludf.DUMMYFUNCTION("""COMPUTED_VALUE"""),2009)</f>
        <v>2009</v>
      </c>
      <c r="I63" s="5" t="str">
        <f ca="1">IFERROR(__xludf.DUMMYFUNCTION("""COMPUTED_VALUE"""),"2nd Leader's Guide, Revised, Expanded Ed.")</f>
        <v>2nd Leader's Guide, Revised, Expanded Ed.</v>
      </c>
      <c r="J63" s="5" t="str">
        <f ca="1">IFERROR(__xludf.DUMMYFUNCTION("""COMPUTED_VALUE"""),"978-1606086650")</f>
        <v>978-1606086650</v>
      </c>
      <c r="K63" s="5" t="str">
        <f ca="1">IFERROR(__xludf.DUMMYFUNCTION("""COMPUTED_VALUE"""),"$22.00 / $17.59")</f>
        <v>$22.00 / $17.59</v>
      </c>
    </row>
    <row r="64" spans="1:11" ht="14.25">
      <c r="A64" s="5" t="str">
        <f ca="1">IFERROR(__xludf.DUMMYFUNCTION("""COMPUTED_VALUE"""),"PW 2503:  The Art of Presence: Creative Worship for the People of God")</f>
        <v>PW 2503:  The Art of Presence: Creative Worship for the People of God</v>
      </c>
      <c r="B64" s="5" t="str">
        <f ca="1">IFERROR(__xludf.DUMMYFUNCTION("""COMPUTED_VALUE"""),"Goodman-Morris, M. &amp; C.")</f>
        <v>Goodman-Morris, M. &amp; C.</v>
      </c>
      <c r="C64" s="5" t="str">
        <f ca="1">IFERROR(__xludf.DUMMYFUNCTION("""COMPUTED_VALUE"""),"J-Term 2021")</f>
        <v>J-Term 2021</v>
      </c>
      <c r="D64" s="5" t="str">
        <f ca="1">IFERROR(__xludf.DUMMYFUNCTION("""COMPUTED_VALUE"""),"Required")</f>
        <v>Required</v>
      </c>
      <c r="E64" s="5" t="str">
        <f ca="1">IFERROR(__xludf.DUMMYFUNCTION("""COMPUTED_VALUE"""),"Frederick Buechner")</f>
        <v>Frederick Buechner</v>
      </c>
      <c r="F64" s="5" t="str">
        <f ca="1">IFERROR(__xludf.DUMMYFUNCTION("""COMPUTED_VALUE"""),"Telling the Truth: The Gospel as Tragedy, Comedy, and Fairy Tale")</f>
        <v>Telling the Truth: The Gospel as Tragedy, Comedy, and Fairy Tale</v>
      </c>
      <c r="G64" s="5" t="str">
        <f ca="1">IFERROR(__xludf.DUMMYFUNCTION("""COMPUTED_VALUE"""),"Harper San Francisco")</f>
        <v>Harper San Francisco</v>
      </c>
      <c r="H64" s="5">
        <f ca="1">IFERROR(__xludf.DUMMYFUNCTION("""COMPUTED_VALUE"""),1977)</f>
        <v>1977</v>
      </c>
      <c r="I64" s="5" t="str">
        <f ca="1">IFERROR(__xludf.DUMMYFUNCTION("""COMPUTED_VALUE"""),"1st edition")</f>
        <v>1st edition</v>
      </c>
      <c r="J64" s="5" t="str">
        <f ca="1">IFERROR(__xludf.DUMMYFUNCTION("""COMPUTED_VALUE"""),"978-0060611569")</f>
        <v>978-0060611569</v>
      </c>
      <c r="K64" s="5" t="str">
        <f ca="1">IFERROR(__xludf.DUMMYFUNCTION("""COMPUTED_VALUE"""),"$21.99 / $16.40")</f>
        <v>$21.99 / $16.40</v>
      </c>
    </row>
    <row r="65" spans="1:12" ht="14.25">
      <c r="A65" s="5" t="str">
        <f ca="1">IFERROR(__xludf.DUMMYFUNCTION("""COMPUTED_VALUE"""),"PW 2503:  The Art of Presence: Creative Worship for the People of God")</f>
        <v>PW 2503:  The Art of Presence: Creative Worship for the People of God</v>
      </c>
      <c r="B65" s="5" t="str">
        <f ca="1">IFERROR(__xludf.DUMMYFUNCTION("""COMPUTED_VALUE"""),"Goodman-Morris, M. &amp; C.")</f>
        <v>Goodman-Morris, M. &amp; C.</v>
      </c>
      <c r="C65" s="5" t="str">
        <f ca="1">IFERROR(__xludf.DUMMYFUNCTION("""COMPUTED_VALUE"""),"J-Term 2021")</f>
        <v>J-Term 2021</v>
      </c>
      <c r="D65" s="5" t="str">
        <f ca="1">IFERROR(__xludf.DUMMYFUNCTION("""COMPUTED_VALUE"""),"Recommended")</f>
        <v>Recommended</v>
      </c>
      <c r="E65" s="5" t="str">
        <f ca="1">IFERROR(__xludf.DUMMYFUNCTION("""COMPUTED_VALUE"""),"Keith Johnstone")</f>
        <v>Keith Johnstone</v>
      </c>
      <c r="F65" s="5" t="str">
        <f ca="1">IFERROR(__xludf.DUMMYFUNCTION("""COMPUTED_VALUE"""),"Impro: Improvisation and the Theater")</f>
        <v>Impro: Improvisation and the Theater</v>
      </c>
      <c r="G65" s="5" t="str">
        <f ca="1">IFERROR(__xludf.DUMMYFUNCTION("""COMPUTED_VALUE"""),"Routledge")</f>
        <v>Routledge</v>
      </c>
      <c r="H65" s="5">
        <f ca="1">IFERROR(__xludf.DUMMYFUNCTION("""COMPUTED_VALUE"""),2012)</f>
        <v>2012</v>
      </c>
      <c r="I65" s="5" t="str">
        <f ca="1">IFERROR(__xludf.DUMMYFUNCTION("""COMPUTED_VALUE"""),"1st edition")</f>
        <v>1st edition</v>
      </c>
      <c r="J65" s="5" t="str">
        <f ca="1">IFERROR(__xludf.DUMMYFUNCTION("""COMPUTED_VALUE"""),"978-0878301171")</f>
        <v>978-0878301171</v>
      </c>
      <c r="K65" s="5" t="str">
        <f ca="1">IFERROR(__xludf.DUMMYFUNCTION("""COMPUTED_VALUE"""),"$48.95 / $45.61")</f>
        <v>$48.95 / $45.61</v>
      </c>
    </row>
    <row r="66" spans="1:12" ht="14.25">
      <c r="A66" s="5" t="str">
        <f ca="1">IFERROR(__xludf.DUMMYFUNCTION("""COMPUTED_VALUE"""),"PW 2503:  The Art of Presence: Creative Worship for the People of God")</f>
        <v>PW 2503:  The Art of Presence: Creative Worship for the People of God</v>
      </c>
      <c r="B66" s="5" t="str">
        <f ca="1">IFERROR(__xludf.DUMMYFUNCTION("""COMPUTED_VALUE"""),"Goodman-Morris, M. &amp; C.")</f>
        <v>Goodman-Morris, M. &amp; C.</v>
      </c>
      <c r="C66" s="5" t="str">
        <f ca="1">IFERROR(__xludf.DUMMYFUNCTION("""COMPUTED_VALUE"""),"J-Term 2021")</f>
        <v>J-Term 2021</v>
      </c>
      <c r="D66" s="5" t="str">
        <f ca="1">IFERROR(__xludf.DUMMYFUNCTION("""COMPUTED_VALUE"""),"Recommended")</f>
        <v>Recommended</v>
      </c>
      <c r="E66" s="5" t="str">
        <f ca="1">IFERROR(__xludf.DUMMYFUNCTION("""COMPUTED_VALUE"""),"Viola Spolin")</f>
        <v>Viola Spolin</v>
      </c>
      <c r="F66" s="5" t="str">
        <f ca="1">IFERROR(__xludf.DUMMYFUNCTION("""COMPUTED_VALUE"""),"Improvisation for the Theater: A Handbook of Teaching and Directing Techniques.")</f>
        <v>Improvisation for the Theater: A Handbook of Teaching and Directing Techniques.</v>
      </c>
      <c r="G66" s="5" t="str">
        <f ca="1">IFERROR(__xludf.DUMMYFUNCTION("""COMPUTED_VALUE"""),"Northwestern University Press")</f>
        <v>Northwestern University Press</v>
      </c>
      <c r="H66" s="5">
        <f ca="1">IFERROR(__xludf.DUMMYFUNCTION("""COMPUTED_VALUE"""),1999)</f>
        <v>1999</v>
      </c>
      <c r="I66" s="5" t="str">
        <f ca="1">IFERROR(__xludf.DUMMYFUNCTION("""COMPUTED_VALUE"""),"3rd edition")</f>
        <v>3rd edition</v>
      </c>
      <c r="J66" s="5" t="str">
        <f ca="1">IFERROR(__xludf.DUMMYFUNCTION("""COMPUTED_VALUE"""),"978-0810140080")</f>
        <v>978-0810140080</v>
      </c>
      <c r="K66" s="5" t="str">
        <f ca="1">IFERROR(__xludf.DUMMYFUNCTION("""COMPUTED_VALUE"""),"$22.95 / $21.80")</f>
        <v>$22.95 / $21.80</v>
      </c>
    </row>
    <row r="67" spans="1:12" ht="14.25">
      <c r="A67" s="5" t="str">
        <f ca="1">IFERROR(__xludf.DUMMYFUNCTION("""COMPUTED_VALUE"""),"PW 2503:  The Art of Presence: Creative Worship for the People of God")</f>
        <v>PW 2503:  The Art of Presence: Creative Worship for the People of God</v>
      </c>
      <c r="B67" s="5" t="str">
        <f ca="1">IFERROR(__xludf.DUMMYFUNCTION("""COMPUTED_VALUE"""),"Goodman-Morris, M. &amp; C.")</f>
        <v>Goodman-Morris, M. &amp; C.</v>
      </c>
      <c r="C67" s="5" t="str">
        <f ca="1">IFERROR(__xludf.DUMMYFUNCTION("""COMPUTED_VALUE"""),"J-Term 2021")</f>
        <v>J-Term 2021</v>
      </c>
      <c r="D67" s="5" t="str">
        <f ca="1">IFERROR(__xludf.DUMMYFUNCTION("""COMPUTED_VALUE"""),"Recommended")</f>
        <v>Recommended</v>
      </c>
      <c r="E67" s="5" t="str">
        <f ca="1">IFERROR(__xludf.DUMMYFUNCTION("""COMPUTED_VALUE"""),"Daniel B. Wessler and Jenelyn Wessler")</f>
        <v>Daniel B. Wessler and Jenelyn Wessler</v>
      </c>
      <c r="F67" s="5" t="str">
        <f ca="1">IFERROR(__xludf.DUMMYFUNCTION("""COMPUTED_VALUE"""),"The Gifts of Silence")</f>
        <v>The Gifts of Silence</v>
      </c>
      <c r="G67" s="5" t="str">
        <f ca="1">IFERROR(__xludf.DUMMYFUNCTION("""COMPUTED_VALUE"""),"John Knox Press")</f>
        <v>John Knox Press</v>
      </c>
      <c r="H67" s="5">
        <f ca="1">IFERROR(__xludf.DUMMYFUNCTION("""COMPUTED_VALUE"""),1976)</f>
        <v>1976</v>
      </c>
      <c r="I67" s="5" t="str">
        <f ca="1">IFERROR(__xludf.DUMMYFUNCTION("""COMPUTED_VALUE"""),"1st edition")</f>
        <v>1st edition</v>
      </c>
      <c r="J67" s="5" t="str">
        <f ca="1">IFERROR(__xludf.DUMMYFUNCTION("""COMPUTED_VALUE"""),"978-0804216135")</f>
        <v>978-0804216135</v>
      </c>
      <c r="K67" s="5" t="str">
        <f ca="1">IFERROR(__xludf.DUMMYFUNCTION("""COMPUTED_VALUE"""),"/ $8.98 used")</f>
        <v>/ $8.98 used</v>
      </c>
      <c r="L67" s="4" t="s">
        <v>15</v>
      </c>
    </row>
    <row r="68" spans="1:12" ht="14.25">
      <c r="A68" s="5" t="str">
        <f ca="1">IFERROR(__xludf.DUMMYFUNCTION("""COMPUTED_VALUE"""),"PW 2503:  The Art of Presence: Creative Worship for the People of God")</f>
        <v>PW 2503:  The Art of Presence: Creative Worship for the People of God</v>
      </c>
      <c r="B68" s="5" t="str">
        <f ca="1">IFERROR(__xludf.DUMMYFUNCTION("""COMPUTED_VALUE"""),"Goodman-Morris, M. &amp; C.")</f>
        <v>Goodman-Morris, M. &amp; C.</v>
      </c>
      <c r="C68" s="5" t="str">
        <f ca="1">IFERROR(__xludf.DUMMYFUNCTION("""COMPUTED_VALUE"""),"J-Term 2021")</f>
        <v>J-Term 2021</v>
      </c>
      <c r="D68" s="5" t="str">
        <f ca="1">IFERROR(__xludf.DUMMYFUNCTION("""COMPUTED_VALUE"""),"Recommended")</f>
        <v>Recommended</v>
      </c>
      <c r="E68" s="5" t="str">
        <f ca="1">IFERROR(__xludf.DUMMYFUNCTION("""COMPUTED_VALUE"""),"Walter Wink")</f>
        <v>Walter Wink</v>
      </c>
      <c r="F68" s="5" t="str">
        <f ca="1">IFERROR(__xludf.DUMMYFUNCTION("""COMPUTED_VALUE"""),"Jesus and Nonviolence: A Third Way")</f>
        <v>Jesus and Nonviolence: A Third Way</v>
      </c>
      <c r="G68" s="5" t="str">
        <f ca="1">IFERROR(__xludf.DUMMYFUNCTION("""COMPUTED_VALUE"""),"Wild Goose Publications")</f>
        <v>Wild Goose Publications</v>
      </c>
      <c r="H68" s="5">
        <f ca="1">IFERROR(__xludf.DUMMYFUNCTION("""COMPUTED_VALUE"""),2003)</f>
        <v>2003</v>
      </c>
      <c r="I68" s="5" t="str">
        <f ca="1">IFERROR(__xludf.DUMMYFUNCTION("""COMPUTED_VALUE"""),"1st edition")</f>
        <v>1st edition</v>
      </c>
      <c r="J68" s="5" t="str">
        <f ca="1">IFERROR(__xludf.DUMMYFUNCTION("""COMPUTED_VALUE"""),"978-0800636098")</f>
        <v>978-0800636098</v>
      </c>
      <c r="K68" s="5" t="str">
        <f ca="1">IFERROR(__xludf.DUMMYFUNCTION("""COMPUTED_VALUE"""),"/ $10.89")</f>
        <v>/ $10.89</v>
      </c>
    </row>
    <row r="69" spans="1:12" ht="14.25">
      <c r="A69" s="5" t="str">
        <f ca="1">IFERROR(__xludf.DUMMYFUNCTION("""COMPUTED_VALUE"""),"PW 2503:  The Art of Presence: Creative Worship for the People of God")</f>
        <v>PW 2503:  The Art of Presence: Creative Worship for the People of God</v>
      </c>
      <c r="B69" s="5" t="str">
        <f ca="1">IFERROR(__xludf.DUMMYFUNCTION("""COMPUTED_VALUE"""),"Goodman-Morris, M. &amp; C.")</f>
        <v>Goodman-Morris, M. &amp; C.</v>
      </c>
      <c r="C69" s="5" t="str">
        <f ca="1">IFERROR(__xludf.DUMMYFUNCTION("""COMPUTED_VALUE"""),"J-Term 2021")</f>
        <v>J-Term 2021</v>
      </c>
      <c r="D69" s="5" t="str">
        <f ca="1">IFERROR(__xludf.DUMMYFUNCTION("""COMPUTED_VALUE"""),"Recommended")</f>
        <v>Recommended</v>
      </c>
      <c r="E69" s="5" t="str">
        <f ca="1">IFERROR(__xludf.DUMMYFUNCTION("""COMPUTED_VALUE"""),"Iona Community")</f>
        <v>Iona Community</v>
      </c>
      <c r="F69" s="5" t="str">
        <f ca="1">IFERROR(__xludf.DUMMYFUNCTION("""COMPUTED_VALUE"""),"The Iona Abbey Worship Book")</f>
        <v>The Iona Abbey Worship Book</v>
      </c>
      <c r="G69" s="5" t="str">
        <f ca="1">IFERROR(__xludf.DUMMYFUNCTION("""COMPUTED_VALUE"""),"Wild Goose Publications.")</f>
        <v>Wild Goose Publications.</v>
      </c>
      <c r="H69" s="5">
        <f ca="1">IFERROR(__xludf.DUMMYFUNCTION("""COMPUTED_VALUE"""),2017)</f>
        <v>2017</v>
      </c>
      <c r="I69" s="5" t="str">
        <f ca="1">IFERROR(__xludf.DUMMYFUNCTION("""COMPUTED_VALUE"""),"1st edition")</f>
        <v>1st edition</v>
      </c>
      <c r="J69" s="5" t="str">
        <f ca="1">IFERROR(__xludf.DUMMYFUNCTION("""COMPUTED_VALUE""")," 978-1849525138")</f>
        <v xml:space="preserve"> 978-1849525138</v>
      </c>
      <c r="K69" s="5" t="str">
        <f ca="1">IFERROR(__xludf.DUMMYFUNCTION("""COMPUTED_VALUE"""),"/ $21.99")</f>
        <v>/ $21.99</v>
      </c>
    </row>
    <row r="70" spans="1:12" ht="14.25">
      <c r="A70" s="5"/>
      <c r="B70" s="5"/>
      <c r="C70" s="5"/>
      <c r="D70" s="5"/>
      <c r="E70" s="5"/>
      <c r="F70" s="5"/>
      <c r="G70" s="5"/>
      <c r="H70" s="5"/>
      <c r="I70" s="5"/>
      <c r="J70" s="5"/>
      <c r="K70" s="5"/>
    </row>
    <row r="71" spans="1:12" ht="14.25">
      <c r="A71" s="5" t="str">
        <f ca="1">IFERROR(__xludf.DUMMYFUNCTION("""COMPUTED_VALUE"""),"TH 2243:  Testimony: The Examined Life as Wisdom and Witness")</f>
        <v>TH 2243:  Testimony: The Examined Life as Wisdom and Witness</v>
      </c>
      <c r="B71" s="5" t="str">
        <f ca="1">IFERROR(__xludf.DUMMYFUNCTION("""COMPUTED_VALUE"""),"Elwood, C.")</f>
        <v>Elwood, C.</v>
      </c>
      <c r="C71" s="5" t="str">
        <f ca="1">IFERROR(__xludf.DUMMYFUNCTION("""COMPUTED_VALUE"""),"J-Term 2021")</f>
        <v>J-Term 2021</v>
      </c>
      <c r="D71" s="5" t="str">
        <f ca="1">IFERROR(__xludf.DUMMYFUNCTION("""COMPUTED_VALUE"""),"Required")</f>
        <v>Required</v>
      </c>
      <c r="E71" s="5" t="str">
        <f ca="1">IFERROR(__xludf.DUMMYFUNCTION("""COMPUTED_VALUE"""),"Augustine")</f>
        <v>Augustine</v>
      </c>
      <c r="F71" s="5" t="str">
        <f ca="1">IFERROR(__xludf.DUMMYFUNCTION("""COMPUTED_VALUE"""),"The Confessions")</f>
        <v>The Confessions</v>
      </c>
      <c r="G71" s="5" t="str">
        <f ca="1">IFERROR(__xludf.DUMMYFUNCTION("""COMPUTED_VALUE"""),"New City Press")</f>
        <v>New City Press</v>
      </c>
      <c r="H71" s="5">
        <f ca="1">IFERROR(__xludf.DUMMYFUNCTION("""COMPUTED_VALUE"""),2002)</f>
        <v>2002</v>
      </c>
      <c r="I71" s="5" t="str">
        <f ca="1">IFERROR(__xludf.DUMMYFUNCTION("""COMPUTED_VALUE"""),"N/A")</f>
        <v>N/A</v>
      </c>
      <c r="J71" s="5" t="str">
        <f ca="1">IFERROR(__xludf.DUMMYFUNCTION("""COMPUTED_VALUE"""),"978-1565481541")</f>
        <v>978-1565481541</v>
      </c>
      <c r="K71" s="5" t="str">
        <f ca="1">IFERROR(__xludf.DUMMYFUNCTION("""COMPUTED_VALUE"""),"/ $9.95")</f>
        <v>/ $9.95</v>
      </c>
    </row>
    <row r="72" spans="1:12" ht="14.25">
      <c r="A72" s="5" t="str">
        <f ca="1">IFERROR(__xludf.DUMMYFUNCTION("""COMPUTED_VALUE"""),"TH 2243:  Testimony: The Examined Life as Wisdom and Witness")</f>
        <v>TH 2243:  Testimony: The Examined Life as Wisdom and Witness</v>
      </c>
      <c r="B72" s="5" t="str">
        <f ca="1">IFERROR(__xludf.DUMMYFUNCTION("""COMPUTED_VALUE"""),"Elwood, C.")</f>
        <v>Elwood, C.</v>
      </c>
      <c r="C72" s="5" t="str">
        <f ca="1">IFERROR(__xludf.DUMMYFUNCTION("""COMPUTED_VALUE"""),"J-Term 2021")</f>
        <v>J-Term 2021</v>
      </c>
      <c r="D72" s="5" t="str">
        <f ca="1">IFERROR(__xludf.DUMMYFUNCTION("""COMPUTED_VALUE"""),"Required")</f>
        <v>Required</v>
      </c>
      <c r="E72" s="5" t="str">
        <f ca="1">IFERROR(__xludf.DUMMYFUNCTION("""COMPUTED_VALUE"""),"Harriet Jacobs")</f>
        <v>Harriet Jacobs</v>
      </c>
      <c r="F72" s="5" t="str">
        <f ca="1">IFERROR(__xludf.DUMMYFUNCTION("""COMPUTED_VALUE"""),"Incidents in the Life of a Slave Girl")</f>
        <v>Incidents in the Life of a Slave Girl</v>
      </c>
      <c r="G72" s="5" t="str">
        <f ca="1">IFERROR(__xludf.DUMMYFUNCTION("""COMPUTED_VALUE"""),"Penguin Classics")</f>
        <v>Penguin Classics</v>
      </c>
      <c r="H72" s="5">
        <f ca="1">IFERROR(__xludf.DUMMYFUNCTION("""COMPUTED_VALUE"""),2000)</f>
        <v>2000</v>
      </c>
      <c r="I72" s="5" t="str">
        <f ca="1">IFERROR(__xludf.DUMMYFUNCTION("""COMPUTED_VALUE"""),"Trade paperback edition")</f>
        <v>Trade paperback edition</v>
      </c>
      <c r="J72" s="5" t="str">
        <f ca="1">IFERROR(__xludf.DUMMYFUNCTION("""COMPUTED_VALUE"""),"978-0140437959")</f>
        <v>978-0140437959</v>
      </c>
      <c r="K72" s="5" t="str">
        <f ca="1">IFERROR(__xludf.DUMMYFUNCTION("""COMPUTED_VALUE"""),"$15.00 / $12.78")</f>
        <v>$15.00 / $12.78</v>
      </c>
    </row>
    <row r="73" spans="1:12" ht="14.25">
      <c r="A73" s="5" t="str">
        <f ca="1">IFERROR(__xludf.DUMMYFUNCTION("""COMPUTED_VALUE"""),"TH 2243:  Testimony: The Examined Life as Wisdom and Witness")</f>
        <v>TH 2243:  Testimony: The Examined Life as Wisdom and Witness</v>
      </c>
      <c r="B73" s="5" t="str">
        <f ca="1">IFERROR(__xludf.DUMMYFUNCTION("""COMPUTED_VALUE"""),"Elwood, C.")</f>
        <v>Elwood, C.</v>
      </c>
      <c r="C73" s="5" t="str">
        <f ca="1">IFERROR(__xludf.DUMMYFUNCTION("""COMPUTED_VALUE"""),"J-Term 2021")</f>
        <v>J-Term 2021</v>
      </c>
      <c r="D73" s="5" t="str">
        <f ca="1">IFERROR(__xludf.DUMMYFUNCTION("""COMPUTED_VALUE"""),"Required")</f>
        <v>Required</v>
      </c>
      <c r="E73" s="5" t="str">
        <f ca="1">IFERROR(__xludf.DUMMYFUNCTION("""COMPUTED_VALUE"""),"Malcolm X and Alex Hailey")</f>
        <v>Malcolm X and Alex Hailey</v>
      </c>
      <c r="F73" s="5" t="str">
        <f ca="1">IFERROR(__xludf.DUMMYFUNCTION("""COMPUTED_VALUE"""),"The Autobiography of Malcolm X")</f>
        <v>The Autobiography of Malcolm X</v>
      </c>
      <c r="G73" s="5" t="str">
        <f ca="1">IFERROR(__xludf.DUMMYFUNCTION("""COMPUTED_VALUE"""),"Ballantine Books")</f>
        <v>Ballantine Books</v>
      </c>
      <c r="H73" s="5">
        <f ca="1">IFERROR(__xludf.DUMMYFUNCTION("""COMPUTED_VALUE"""),1992)</f>
        <v>1992</v>
      </c>
      <c r="I73" s="5" t="str">
        <f ca="1">IFERROR(__xludf.DUMMYFUNCTION("""COMPUTED_VALUE"""),"Reissue Edition")</f>
        <v>Reissue Edition</v>
      </c>
      <c r="J73" s="5" t="str">
        <f ca="1">IFERROR(__xludf.DUMMYFUNCTION("""COMPUTED_VALUE""")," 978-9990065169")</f>
        <v xml:space="preserve"> 978-9990065169</v>
      </c>
      <c r="K73" s="5" t="str">
        <f ca="1">IFERROR(__xludf.DUMMYFUNCTION("""COMPUTED_VALUE"""),"/ $7.99")</f>
        <v>/ $7.99</v>
      </c>
    </row>
    <row r="74" spans="1:12" ht="14.25">
      <c r="A74" s="5" t="str">
        <f ca="1">IFERROR(__xludf.DUMMYFUNCTION("""COMPUTED_VALUE"""),"TH 2243:  Testimony: The Examined Life as Wisdom and Witness")</f>
        <v>TH 2243:  Testimony: The Examined Life as Wisdom and Witness</v>
      </c>
      <c r="B74" s="5" t="str">
        <f ca="1">IFERROR(__xludf.DUMMYFUNCTION("""COMPUTED_VALUE"""),"Elwood, C.")</f>
        <v>Elwood, C.</v>
      </c>
      <c r="C74" s="5" t="str">
        <f ca="1">IFERROR(__xludf.DUMMYFUNCTION("""COMPUTED_VALUE"""),"J-Term 2021")</f>
        <v>J-Term 2021</v>
      </c>
      <c r="D74" s="5" t="str">
        <f ca="1">IFERROR(__xludf.DUMMYFUNCTION("""COMPUTED_VALUE"""),"Required")</f>
        <v>Required</v>
      </c>
      <c r="E74" s="5" t="str">
        <f ca="1">IFERROR(__xludf.DUMMYFUNCTION("""COMPUTED_VALUE"""),"Helen Prejean")</f>
        <v>Helen Prejean</v>
      </c>
      <c r="F74" s="5" t="str">
        <f ca="1">IFERROR(__xludf.DUMMYFUNCTION("""COMPUTED_VALUE"""),"River of Fire: On Becoming an Activist")</f>
        <v>River of Fire: On Becoming an Activist</v>
      </c>
      <c r="G74" s="5" t="str">
        <f ca="1">IFERROR(__xludf.DUMMYFUNCTION("""COMPUTED_VALUE"""),"Vintage")</f>
        <v>Vintage</v>
      </c>
      <c r="H74" s="5">
        <f ca="1">IFERROR(__xludf.DUMMYFUNCTION("""COMPUTED_VALUE"""),2020)</f>
        <v>2020</v>
      </c>
      <c r="I74" s="5" t="str">
        <f ca="1">IFERROR(__xludf.DUMMYFUNCTION("""COMPUTED_VALUE"""),"N/A")</f>
        <v>N/A</v>
      </c>
      <c r="J74" s="5" t="str">
        <f ca="1">IFERROR(__xludf.DUMMYFUNCTION("""COMPUTED_VALUE"""),"978-0307389039")</f>
        <v>978-0307389039</v>
      </c>
      <c r="K74" s="5" t="str">
        <f ca="1">IFERROR(__xludf.DUMMYFUNCTION("""COMPUTED_VALUE"""),"/ $16.95")</f>
        <v>/ $16.95</v>
      </c>
    </row>
    <row r="75" spans="1:12" ht="14.25">
      <c r="A75" s="5" t="str">
        <f ca="1">IFERROR(__xludf.DUMMYFUNCTION("""COMPUTED_VALUE"""),"TH 2243:  Testimony: The Examined Life as Wisdom and Witness")</f>
        <v>TH 2243:  Testimony: The Examined Life as Wisdom and Witness</v>
      </c>
      <c r="B75" s="5" t="str">
        <f ca="1">IFERROR(__xludf.DUMMYFUNCTION("""COMPUTED_VALUE"""),"Elwood, C.")</f>
        <v>Elwood, C.</v>
      </c>
      <c r="C75" s="5" t="str">
        <f ca="1">IFERROR(__xludf.DUMMYFUNCTION("""COMPUTED_VALUE"""),"J-Term 2021")</f>
        <v>J-Term 2021</v>
      </c>
      <c r="D75" s="5" t="str">
        <f ca="1">IFERROR(__xludf.DUMMYFUNCTION("""COMPUTED_VALUE"""),"Recommended")</f>
        <v>Recommended</v>
      </c>
      <c r="E75" s="5" t="str">
        <f ca="1">IFERROR(__xludf.DUMMYFUNCTION("""COMPUTED_VALUE"""),"Julian of Norwich")</f>
        <v>Julian of Norwich</v>
      </c>
      <c r="F75" s="5" t="str">
        <f ca="1">IFERROR(__xludf.DUMMYFUNCTION("""COMPUTED_VALUE"""),"Revelations of Divine Love")</f>
        <v>Revelations of Divine Love</v>
      </c>
      <c r="G75" s="5" t="str">
        <f ca="1">IFERROR(__xludf.DUMMYFUNCTION("""COMPUTED_VALUE"""),"Penguin Books")</f>
        <v>Penguin Books</v>
      </c>
      <c r="H75" s="5">
        <f ca="1">IFERROR(__xludf.DUMMYFUNCTION("""COMPUTED_VALUE"""),1999)</f>
        <v>1999</v>
      </c>
      <c r="I75" s="5" t="str">
        <f ca="1">IFERROR(__xludf.DUMMYFUNCTION("""COMPUTED_VALUE"""),"Underlined and Noted Edition")</f>
        <v>Underlined and Noted Edition</v>
      </c>
      <c r="J75" s="5" t="str">
        <f ca="1">IFERROR(__xludf.DUMMYFUNCTION("""COMPUTED_VALUE"""),"978-0140446739")</f>
        <v>978-0140446739</v>
      </c>
      <c r="K75" s="5" t="str">
        <f ca="1">IFERROR(__xludf.DUMMYFUNCTION("""COMPUTED_VALUE"""),"$18.00 / $11.29")</f>
        <v>$18.00 / $11.29</v>
      </c>
    </row>
    <row r="76" spans="1:12" ht="14.25">
      <c r="A76" s="5" t="str">
        <f ca="1">IFERROR(__xludf.DUMMYFUNCTION("""COMPUTED_VALUE"""),"TH 2243:  Testimony: The Examined Life as Wisdom and Witness")</f>
        <v>TH 2243:  Testimony: The Examined Life as Wisdom and Witness</v>
      </c>
      <c r="B76" s="5" t="str">
        <f ca="1">IFERROR(__xludf.DUMMYFUNCTION("""COMPUTED_VALUE"""),"Elwood, C.")</f>
        <v>Elwood, C.</v>
      </c>
      <c r="C76" s="5" t="str">
        <f ca="1">IFERROR(__xludf.DUMMYFUNCTION("""COMPUTED_VALUE"""),"J-Term 2021")</f>
        <v>J-Term 2021</v>
      </c>
      <c r="D76" s="5" t="str">
        <f ca="1">IFERROR(__xludf.DUMMYFUNCTION("""COMPUTED_VALUE"""),"Recommended")</f>
        <v>Recommended</v>
      </c>
      <c r="E76" s="5" t="str">
        <f ca="1">IFERROR(__xludf.DUMMYFUNCTION("""COMPUTED_VALUE"""),"John G. Neihardt")</f>
        <v>John G. Neihardt</v>
      </c>
      <c r="F76" s="5" t="str">
        <f ca="1">IFERROR(__xludf.DUMMYFUNCTION("""COMPUTED_VALUE"""),"Black Elk Speaks: The Complete Edition")</f>
        <v>Black Elk Speaks: The Complete Edition</v>
      </c>
      <c r="G76" s="5" t="str">
        <f ca="1">IFERROR(__xludf.DUMMYFUNCTION("""COMPUTED_VALUE"""),"Bison Books")</f>
        <v>Bison Books</v>
      </c>
      <c r="H76" s="5">
        <f ca="1">IFERROR(__xludf.DUMMYFUNCTION("""COMPUTED_VALUE"""),2014)</f>
        <v>2014</v>
      </c>
      <c r="I76" s="5" t="str">
        <f ca="1">IFERROR(__xludf.DUMMYFUNCTION("""COMPUTED_VALUE"""),"Complete Edition")</f>
        <v>Complete Edition</v>
      </c>
      <c r="J76" s="5" t="str">
        <f ca="1">IFERROR(__xludf.DUMMYFUNCTION("""COMPUTED_VALUE"""),"978-0803283916")</f>
        <v>978-0803283916</v>
      </c>
      <c r="K76" s="5" t="str">
        <f ca="1">IFERROR(__xludf.DUMMYFUNCTION("""COMPUTED_VALUE"""),"$29.91 / $11.49")</f>
        <v>$29.91 / $11.49</v>
      </c>
    </row>
  </sheetData>
  <sortState ref="A3:AG77">
    <sortCondition ref="A1"/>
  </sortState>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5A7FDF07448454584B7C6742AEEC882" ma:contentTypeVersion="2" ma:contentTypeDescription="Create a new document." ma:contentTypeScope="" ma:versionID="dbfe0a97924158d794ef72cdd7d81247">
  <xsd:schema xmlns:xsd="http://www.w3.org/2001/XMLSchema" xmlns:xs="http://www.w3.org/2001/XMLSchema" xmlns:p="http://schemas.microsoft.com/office/2006/metadata/properties" xmlns:ns2="424d741a-bc63-4216-b10a-b570cdc4c2ab" targetNamespace="http://schemas.microsoft.com/office/2006/metadata/properties" ma:root="true" ma:fieldsID="947ff6e789f587018b613e657ac05497" ns2:_="">
    <xsd:import namespace="424d741a-bc63-4216-b10a-b570cdc4c2ab"/>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4d741a-bc63-4216-b10a-b570cdc4c2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F30075-CED0-4F87-86A6-C926BF52D4E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1A27181-2F93-4324-9A5D-8A252148D291}">
  <ds:schemaRefs>
    <ds:schemaRef ds:uri="http://schemas.microsoft.com/sharepoint/v3/contenttype/forms"/>
  </ds:schemaRefs>
</ds:datastoreItem>
</file>

<file path=customXml/itemProps3.xml><?xml version="1.0" encoding="utf-8"?>
<ds:datastoreItem xmlns:ds="http://schemas.openxmlformats.org/officeDocument/2006/customXml" ds:itemID="{3F04181E-A6A0-4BDC-9886-4C7ACABFE6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4d741a-bc63-4216-b10a-b570cdc4c2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January 2021 Textbooks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SCARLOTT, MELISA</dc:creator>
  <cp:keywords/>
  <dc:description/>
  <cp:lastModifiedBy>COOK, STEVE</cp:lastModifiedBy>
  <cp:revision/>
  <dcterms:created xsi:type="dcterms:W3CDTF">2020-11-02T19:50:24Z</dcterms:created>
  <dcterms:modified xsi:type="dcterms:W3CDTF">2020-11-09T14:27:08Z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0x010100B5A7FDF07448454584B7C6742AEEC882</vt:lpwstr>
  </property>
</Properties>
</file>